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19974BFB-7201-4124-86E5-35D3D10D13D5}" xr6:coauthVersionLast="36" xr6:coauthVersionMax="36" xr10:uidLastSave="{00000000-0000-0000-0000-000000000000}"/>
  <bookViews>
    <workbookView xWindow="0" yWindow="0" windowWidth="14380" windowHeight="4070" tabRatio="797" firstSheet="13" activeTab="17" xr2:uid="{00000000-000D-0000-FFFF-FFFF00000000}"/>
  </bookViews>
  <sheets>
    <sheet name="BUNGALOW" sheetId="21" r:id="rId1"/>
    <sheet name="EASTSIDE" sheetId="19" r:id="rId2"/>
    <sheet name="HIDDENHOLLOW" sheetId="20" r:id="rId3"/>
    <sheet name="HILLCREST" sheetId="5" r:id="rId4"/>
    <sheet name="LINDON" sheetId="22" r:id="rId5"/>
    <sheet name="MEDALLIONMANOR(Provo)" sheetId="6" r:id="rId6"/>
    <sheet name="MEDALLION SUP LVNG-LEHI" sheetId="27" r:id="rId7"/>
    <sheet name="MEDALLION SUP LVNG-PAYSON" sheetId="35" r:id="rId8"/>
    <sheet name="MEDALLION SUP LVNG-SPRINGVILLE" sheetId="36" r:id="rId9"/>
    <sheet name="MESAVISTA" sheetId="7" r:id="rId10"/>
    <sheet name="NORTHSIDE" sheetId="23" r:id="rId11"/>
    <sheet name="PROVO" sheetId="24" r:id="rId12"/>
    <sheet name="SUPPORTED INDEPENDENCE" sheetId="38" r:id="rId13"/>
    <sheet name="TOPHAMS" sheetId="10" r:id="rId14"/>
    <sheet name="WESTJORDAN" sheetId="11" r:id="rId15"/>
    <sheet name="WESTSIDE" sheetId="25" r:id="rId16"/>
    <sheet name="WIDEHORIZONS, TM" sheetId="13" r:id="rId17"/>
    <sheet name="SUMMARY" sheetId="1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EASTSIDE!$B$1:$L$205</definedName>
    <definedName name="_xlnm.Print_Area" localSheetId="2">HIDDENHOLLOW!$B$1:$L$205</definedName>
    <definedName name="_xlnm.Print_Area" localSheetId="3">HILLCREST!$B$1:$L$205</definedName>
    <definedName name="_xlnm.Print_Area" localSheetId="4">LINDON!$B$1:$L$207</definedName>
    <definedName name="_xlnm.Print_Area" localSheetId="6">'MEDALLION SUP LVNG-LEHI'!$B$1:$L$205</definedName>
    <definedName name="_xlnm.Print_Area" localSheetId="7">'MEDALLION SUP LVNG-PAYSON'!$B$1:$L$205</definedName>
    <definedName name="_xlnm.Print_Area" localSheetId="8">'MEDALLION SUP LVNG-SPRINGVILLE'!$B$1:$L$205</definedName>
    <definedName name="_xlnm.Print_Area" localSheetId="5">'MEDALLIONMANOR(Provo)'!$B$1:$L$205</definedName>
    <definedName name="_xlnm.Print_Area" localSheetId="9">MESAVISTA!$B$1:$L$205</definedName>
    <definedName name="_xlnm.Print_Area" localSheetId="10">NORTHSIDE!$B$1:$L$205</definedName>
    <definedName name="_xlnm.Print_Area" localSheetId="11">PROVO!$B$1:$L$205</definedName>
    <definedName name="_xlnm.Print_Area" localSheetId="17">SUMMARY!$A$1:$N$208</definedName>
    <definedName name="_xlnm.Print_Area" localSheetId="12">'SUPPORTED INDEPENDENCE'!$B$1:$L$205</definedName>
    <definedName name="_xlnm.Print_Area" localSheetId="13">TOPHAMS!$B$1:$L$205</definedName>
    <definedName name="_xlnm.Print_Area" localSheetId="14">WESTJORDAN!$B$1:$L$205</definedName>
    <definedName name="_xlnm.Print_Area" localSheetId="15">WESTSIDE!$B$1:$L$205</definedName>
    <definedName name="_xlnm.Print_Area" localSheetId="16">'WIDEHORIZONS, TM'!#REF!</definedName>
    <definedName name="_xlnm.Print_Titles" localSheetId="0">BUNGALOW!$1:$9</definedName>
    <definedName name="_xlnm.Print_Titles" localSheetId="1">EASTSIDE!$1:$9</definedName>
    <definedName name="_xlnm.Print_Titles" localSheetId="2">HIDDENHOLLOW!$1:$9</definedName>
    <definedName name="_xlnm.Print_Titles" localSheetId="3">HILLCREST!$1:$9</definedName>
    <definedName name="_xlnm.Print_Titles" localSheetId="4">LINDON!$1:$9</definedName>
    <definedName name="_xlnm.Print_Titles" localSheetId="6">'MEDALLION SUP LVNG-LEHI'!$1:$9</definedName>
    <definedName name="_xlnm.Print_Titles" localSheetId="7">'MEDALLION SUP LVNG-PAYSON'!$1:$9</definedName>
    <definedName name="_xlnm.Print_Titles" localSheetId="8">'MEDALLION SUP LVNG-SPRINGVILLE'!$1:$9</definedName>
    <definedName name="_xlnm.Print_Titles" localSheetId="5">'MEDALLIONMANOR(Provo)'!$1:$9</definedName>
    <definedName name="_xlnm.Print_Titles" localSheetId="9">MESAVISTA!$1:$9</definedName>
    <definedName name="_xlnm.Print_Titles" localSheetId="10">NORTHSIDE!$1:$9</definedName>
    <definedName name="_xlnm.Print_Titles" localSheetId="11">PROVO!$1:$9</definedName>
    <definedName name="_xlnm.Print_Titles" localSheetId="17">SUMMARY!$1:$8</definedName>
    <definedName name="_xlnm.Print_Titles" localSheetId="12">'SUPPORTED INDEPENDENCE'!$1:$9</definedName>
    <definedName name="_xlnm.Print_Titles" localSheetId="13">TOPHAMS!$1:$9</definedName>
    <definedName name="_xlnm.Print_Titles" localSheetId="14">WESTJORDAN!$1:$9</definedName>
    <definedName name="_xlnm.Print_Titles" localSheetId="15">WESTSIDE!$1:$9</definedName>
    <definedName name="_xlnm.Print_Titles" localSheetId="16">'WIDEHORIZONS, TM'!#REF!</definedName>
  </definedNames>
  <calcPr calcId="191029"/>
</workbook>
</file>

<file path=xl/calcChain.xml><?xml version="1.0" encoding="utf-8"?>
<calcChain xmlns="http://schemas.openxmlformats.org/spreadsheetml/2006/main">
  <c r="F202" i="5" l="1"/>
  <c r="F198" i="38" l="1"/>
  <c r="C208" i="38"/>
  <c r="C207" i="38"/>
  <c r="C206" i="38"/>
  <c r="C205" i="38"/>
  <c r="C202" i="38"/>
  <c r="C201" i="38"/>
  <c r="C4" i="38"/>
  <c r="C203" i="38" s="1"/>
  <c r="C3" i="38"/>
  <c r="C197" i="38"/>
  <c r="C196" i="38"/>
  <c r="C195" i="38"/>
  <c r="C194" i="38"/>
  <c r="C186" i="38"/>
  <c r="C198" i="38" l="1"/>
  <c r="D183" i="38"/>
  <c r="C183" i="38"/>
  <c r="D190" i="38" l="1"/>
  <c r="C190" i="38"/>
  <c r="E203" i="38"/>
  <c r="E202" i="38"/>
  <c r="E201" i="38"/>
  <c r="E197" i="38"/>
  <c r="E196" i="38"/>
  <c r="E195" i="38"/>
  <c r="E194" i="38"/>
  <c r="F181" i="38"/>
  <c r="E180" i="38"/>
  <c r="E179" i="38"/>
  <c r="E178" i="38"/>
  <c r="E177" i="38"/>
  <c r="E176" i="38"/>
  <c r="E175" i="38"/>
  <c r="E174" i="38"/>
  <c r="E173" i="38"/>
  <c r="E172" i="38"/>
  <c r="E171" i="38"/>
  <c r="E170" i="38"/>
  <c r="E169" i="38"/>
  <c r="E168" i="38"/>
  <c r="E167" i="38"/>
  <c r="F164" i="38"/>
  <c r="E163" i="38"/>
  <c r="E162" i="38"/>
  <c r="E161" i="38"/>
  <c r="E160" i="38"/>
  <c r="E159" i="38"/>
  <c r="E158" i="38"/>
  <c r="E157" i="38"/>
  <c r="E156" i="38"/>
  <c r="E155" i="38"/>
  <c r="E154" i="38"/>
  <c r="E153" i="38"/>
  <c r="E152" i="38"/>
  <c r="E151" i="38"/>
  <c r="E150" i="38"/>
  <c r="F147" i="38"/>
  <c r="E146" i="38"/>
  <c r="E145" i="38"/>
  <c r="E144" i="38"/>
  <c r="E143" i="38"/>
  <c r="E142" i="38"/>
  <c r="E138" i="38"/>
  <c r="E137" i="38"/>
  <c r="E136" i="38"/>
  <c r="E135" i="38"/>
  <c r="E134" i="38"/>
  <c r="E133" i="38"/>
  <c r="E131" i="38"/>
  <c r="E130" i="38"/>
  <c r="F139" i="38"/>
  <c r="E129" i="38"/>
  <c r="E128" i="38"/>
  <c r="E127" i="38"/>
  <c r="E126" i="38"/>
  <c r="E125" i="38"/>
  <c r="E124" i="38"/>
  <c r="E123" i="38"/>
  <c r="E122" i="38"/>
  <c r="E121" i="38"/>
  <c r="F118" i="38"/>
  <c r="E117" i="38"/>
  <c r="E116" i="38"/>
  <c r="E115" i="38"/>
  <c r="E114" i="38"/>
  <c r="E113" i="38"/>
  <c r="F110" i="38"/>
  <c r="E109" i="38"/>
  <c r="E108" i="38"/>
  <c r="E107" i="38"/>
  <c r="E106" i="38"/>
  <c r="E105" i="38"/>
  <c r="E104" i="38"/>
  <c r="F101" i="38"/>
  <c r="E100" i="38"/>
  <c r="E99" i="38"/>
  <c r="E98" i="38"/>
  <c r="E97" i="38"/>
  <c r="E96" i="38"/>
  <c r="E95" i="38"/>
  <c r="E91" i="38"/>
  <c r="E90" i="38"/>
  <c r="E89" i="38"/>
  <c r="E88" i="38"/>
  <c r="E87" i="38"/>
  <c r="E86" i="38"/>
  <c r="E85" i="38"/>
  <c r="E84" i="38"/>
  <c r="E83" i="38"/>
  <c r="E82" i="38"/>
  <c r="E81" i="38"/>
  <c r="E80" i="38"/>
  <c r="F77" i="38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F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K183" i="38"/>
  <c r="E23" i="38"/>
  <c r="E22" i="38"/>
  <c r="J183" i="38"/>
  <c r="E21" i="38"/>
  <c r="F17" i="38"/>
  <c r="N16" i="38"/>
  <c r="E16" i="38"/>
  <c r="E15" i="38"/>
  <c r="E14" i="38"/>
  <c r="E13" i="38"/>
  <c r="E12" i="38"/>
  <c r="G29" i="38" l="1"/>
  <c r="G37" i="38"/>
  <c r="G45" i="38"/>
  <c r="G49" i="38"/>
  <c r="G53" i="38"/>
  <c r="G63" i="38"/>
  <c r="G71" i="38"/>
  <c r="G96" i="38"/>
  <c r="G106" i="38"/>
  <c r="G116" i="38"/>
  <c r="G126" i="38"/>
  <c r="G134" i="38"/>
  <c r="G151" i="38"/>
  <c r="G159" i="38"/>
  <c r="G173" i="38"/>
  <c r="G26" i="38"/>
  <c r="G34" i="38"/>
  <c r="G46" i="38"/>
  <c r="G72" i="38"/>
  <c r="G82" i="38"/>
  <c r="G97" i="38"/>
  <c r="G107" i="38"/>
  <c r="G123" i="38"/>
  <c r="G152" i="38"/>
  <c r="G174" i="38"/>
  <c r="G178" i="38"/>
  <c r="G15" i="38"/>
  <c r="K19" i="38"/>
  <c r="G27" i="38"/>
  <c r="G31" i="38"/>
  <c r="G35" i="38"/>
  <c r="G39" i="38"/>
  <c r="G43" i="38"/>
  <c r="G47" i="38"/>
  <c r="G51" i="38"/>
  <c r="G55" i="38"/>
  <c r="G61" i="38"/>
  <c r="G65" i="38"/>
  <c r="G69" i="38"/>
  <c r="G73" i="38"/>
  <c r="G83" i="38"/>
  <c r="G87" i="38"/>
  <c r="G91" i="38"/>
  <c r="G98" i="38"/>
  <c r="G108" i="38"/>
  <c r="G114" i="38"/>
  <c r="G124" i="38"/>
  <c r="G128" i="38"/>
  <c r="G131" i="38"/>
  <c r="G136" i="38"/>
  <c r="G143" i="38"/>
  <c r="G153" i="38"/>
  <c r="G157" i="38"/>
  <c r="G161" i="38"/>
  <c r="G167" i="38"/>
  <c r="G171" i="38"/>
  <c r="G175" i="38"/>
  <c r="G179" i="38"/>
  <c r="G13" i="38"/>
  <c r="G22" i="38"/>
  <c r="G25" i="38"/>
  <c r="G33" i="38"/>
  <c r="G41" i="38"/>
  <c r="G67" i="38"/>
  <c r="G75" i="38"/>
  <c r="G81" i="38"/>
  <c r="G85" i="38"/>
  <c r="G100" i="38"/>
  <c r="G122" i="38"/>
  <c r="G138" i="38"/>
  <c r="G145" i="38"/>
  <c r="G155" i="38"/>
  <c r="G163" i="38"/>
  <c r="G169" i="38"/>
  <c r="G177" i="38"/>
  <c r="G14" i="38"/>
  <c r="G23" i="38"/>
  <c r="G30" i="38"/>
  <c r="G38" i="38"/>
  <c r="G42" i="38"/>
  <c r="G50" i="38"/>
  <c r="G54" i="38"/>
  <c r="G64" i="38"/>
  <c r="G68" i="38"/>
  <c r="G76" i="38"/>
  <c r="G86" i="38"/>
  <c r="G90" i="38"/>
  <c r="G113" i="38"/>
  <c r="G117" i="38"/>
  <c r="G127" i="38"/>
  <c r="G130" i="38"/>
  <c r="G135" i="38"/>
  <c r="G146" i="38"/>
  <c r="G156" i="38"/>
  <c r="G160" i="38"/>
  <c r="G170" i="38"/>
  <c r="G16" i="38"/>
  <c r="K18" i="38"/>
  <c r="G24" i="38"/>
  <c r="G28" i="38"/>
  <c r="G32" i="38"/>
  <c r="G36" i="38"/>
  <c r="G40" i="38"/>
  <c r="G44" i="38"/>
  <c r="G48" i="38"/>
  <c r="G52" i="38"/>
  <c r="G56" i="38"/>
  <c r="G62" i="38"/>
  <c r="G66" i="38"/>
  <c r="G70" i="38"/>
  <c r="G74" i="38"/>
  <c r="G80" i="38"/>
  <c r="G84" i="38"/>
  <c r="G88" i="38"/>
  <c r="G99" i="38"/>
  <c r="G105" i="38"/>
  <c r="G109" i="38"/>
  <c r="G115" i="38"/>
  <c r="G121" i="38"/>
  <c r="G125" i="38"/>
  <c r="G129" i="38"/>
  <c r="G133" i="38"/>
  <c r="G137" i="38"/>
  <c r="G144" i="38"/>
  <c r="G150" i="38"/>
  <c r="G154" i="38"/>
  <c r="G158" i="38"/>
  <c r="G162" i="38"/>
  <c r="G168" i="38"/>
  <c r="G172" i="38"/>
  <c r="G176" i="38"/>
  <c r="G180" i="38"/>
  <c r="E205" i="38"/>
  <c r="G195" i="38"/>
  <c r="G197" i="38"/>
  <c r="G196" i="38"/>
  <c r="G194" i="38"/>
  <c r="G203" i="38"/>
  <c r="E198" i="38"/>
  <c r="E17" i="38"/>
  <c r="G12" i="38"/>
  <c r="G21" i="38"/>
  <c r="E57" i="38"/>
  <c r="G57" i="38" s="1"/>
  <c r="E101" i="38"/>
  <c r="G101" i="38" s="1"/>
  <c r="G95" i="38"/>
  <c r="E181" i="38"/>
  <c r="G181" i="38" s="1"/>
  <c r="E118" i="38"/>
  <c r="G118" i="38" s="1"/>
  <c r="E164" i="38"/>
  <c r="G164" i="38" s="1"/>
  <c r="F92" i="38"/>
  <c r="F183" i="38" s="1"/>
  <c r="G89" i="38"/>
  <c r="E110" i="38"/>
  <c r="G110" i="38" s="1"/>
  <c r="E139" i="38"/>
  <c r="G139" i="38" s="1"/>
  <c r="E77" i="38"/>
  <c r="G77" i="38" s="1"/>
  <c r="G60" i="38"/>
  <c r="E92" i="38"/>
  <c r="G104" i="38"/>
  <c r="E147" i="38"/>
  <c r="G147" i="38" s="1"/>
  <c r="G142" i="38"/>
  <c r="C203" i="20"/>
  <c r="F190" i="38" l="1"/>
  <c r="M14" i="38"/>
  <c r="M13" i="38"/>
  <c r="G202" i="38"/>
  <c r="M15" i="38"/>
  <c r="G201" i="38"/>
  <c r="G205" i="38" s="1"/>
  <c r="E207" i="38"/>
  <c r="G198" i="38"/>
  <c r="M88" i="38" s="1"/>
  <c r="M53" i="38"/>
  <c r="G92" i="38"/>
  <c r="E206" i="38"/>
  <c r="M156" i="38"/>
  <c r="M122" i="38"/>
  <c r="M26" i="38"/>
  <c r="E183" i="38"/>
  <c r="M160" i="38"/>
  <c r="M154" i="38"/>
  <c r="M97" i="38"/>
  <c r="M89" i="38"/>
  <c r="M12" i="38"/>
  <c r="M176" i="38"/>
  <c r="M162" i="38"/>
  <c r="M108" i="38"/>
  <c r="M114" i="38"/>
  <c r="G17" i="38"/>
  <c r="M147" i="38"/>
  <c r="M178" i="38"/>
  <c r="M170" i="38"/>
  <c r="M38" i="38"/>
  <c r="M105" i="38"/>
  <c r="M159" i="38"/>
  <c r="M146" i="38"/>
  <c r="M113" i="38"/>
  <c r="M31" i="38"/>
  <c r="K14" i="38"/>
  <c r="M151" i="38"/>
  <c r="M40" i="38"/>
  <c r="M126" i="38"/>
  <c r="M55" i="38"/>
  <c r="H197" i="38"/>
  <c r="M24" i="38"/>
  <c r="M84" i="38"/>
  <c r="M73" i="38"/>
  <c r="M34" i="38"/>
  <c r="M74" i="38"/>
  <c r="M47" i="38"/>
  <c r="M23" i="38"/>
  <c r="M136" i="38"/>
  <c r="M71" i="38"/>
  <c r="M51" i="38"/>
  <c r="M91" i="38"/>
  <c r="M107" i="38"/>
  <c r="M57" i="38"/>
  <c r="C203" i="19"/>
  <c r="M87" i="38" l="1"/>
  <c r="E190" i="38"/>
  <c r="M131" i="38"/>
  <c r="M69" i="38"/>
  <c r="M118" i="38"/>
  <c r="M82" i="38"/>
  <c r="M60" i="38"/>
  <c r="M72" i="38"/>
  <c r="M83" i="38"/>
  <c r="M127" i="38"/>
  <c r="M139" i="38"/>
  <c r="M157" i="38"/>
  <c r="M130" i="38"/>
  <c r="M85" i="38"/>
  <c r="M116" i="38"/>
  <c r="M135" i="38"/>
  <c r="M161" i="38"/>
  <c r="M150" i="38"/>
  <c r="M29" i="38"/>
  <c r="M22" i="38"/>
  <c r="M133" i="38"/>
  <c r="M163" i="38"/>
  <c r="M64" i="38"/>
  <c r="H196" i="38"/>
  <c r="M95" i="38"/>
  <c r="M36" i="38"/>
  <c r="M137" i="38"/>
  <c r="M90" i="38"/>
  <c r="M52" i="38"/>
  <c r="M180" i="38"/>
  <c r="M62" i="38"/>
  <c r="M117" i="38"/>
  <c r="M25" i="38"/>
  <c r="M28" i="38"/>
  <c r="M96" i="38"/>
  <c r="M70" i="38"/>
  <c r="M86" i="38"/>
  <c r="F205" i="38"/>
  <c r="M63" i="38"/>
  <c r="M43" i="38"/>
  <c r="M124" i="38"/>
  <c r="M168" i="38"/>
  <c r="M80" i="38"/>
  <c r="M128" i="38"/>
  <c r="M42" i="38"/>
  <c r="M21" i="38"/>
  <c r="M32" i="38"/>
  <c r="M75" i="38"/>
  <c r="M76" i="38"/>
  <c r="M175" i="38"/>
  <c r="M110" i="38"/>
  <c r="M65" i="38"/>
  <c r="M68" i="38"/>
  <c r="M173" i="38"/>
  <c r="M77" i="38"/>
  <c r="M61" i="38"/>
  <c r="M37" i="38"/>
  <c r="M45" i="38"/>
  <c r="M153" i="38"/>
  <c r="M46" i="38"/>
  <c r="K15" i="38"/>
  <c r="M169" i="38"/>
  <c r="M30" i="38"/>
  <c r="M101" i="38"/>
  <c r="M104" i="38"/>
  <c r="M48" i="38"/>
  <c r="M50" i="38"/>
  <c r="M145" i="38"/>
  <c r="M164" i="38"/>
  <c r="M100" i="38"/>
  <c r="M35" i="38"/>
  <c r="M142" i="38"/>
  <c r="M81" i="38"/>
  <c r="M92" i="38"/>
  <c r="M27" i="38"/>
  <c r="M155" i="38"/>
  <c r="M109" i="38"/>
  <c r="M54" i="38"/>
  <c r="M167" i="38"/>
  <c r="M67" i="38"/>
  <c r="M123" i="38"/>
  <c r="H195" i="38"/>
  <c r="M115" i="38"/>
  <c r="M98" i="38"/>
  <c r="M134" i="38"/>
  <c r="M44" i="38"/>
  <c r="M33" i="38"/>
  <c r="H198" i="38"/>
  <c r="M125" i="38"/>
  <c r="M49" i="38"/>
  <c r="M158" i="38"/>
  <c r="M56" i="38"/>
  <c r="M121" i="38"/>
  <c r="M66" i="38"/>
  <c r="H194" i="38"/>
  <c r="M99" i="38"/>
  <c r="M138" i="38"/>
  <c r="M174" i="38"/>
  <c r="M171" i="38"/>
  <c r="M143" i="38"/>
  <c r="M172" i="38"/>
  <c r="M177" i="38"/>
  <c r="M39" i="38"/>
  <c r="M181" i="38"/>
  <c r="M129" i="38"/>
  <c r="M106" i="38"/>
  <c r="M144" i="38"/>
  <c r="E208" i="38"/>
  <c r="M179" i="38"/>
  <c r="M41" i="38"/>
  <c r="M152" i="38"/>
  <c r="G183" i="38"/>
  <c r="H12" i="38"/>
  <c r="H77" i="38"/>
  <c r="H89" i="38"/>
  <c r="H147" i="38"/>
  <c r="K16" i="38"/>
  <c r="G207" i="38"/>
  <c r="H101" i="38"/>
  <c r="H118" i="38"/>
  <c r="G206" i="38"/>
  <c r="H17" i="38"/>
  <c r="M17" i="38"/>
  <c r="K12" i="38"/>
  <c r="H14" i="38"/>
  <c r="H15" i="38"/>
  <c r="H13" i="38"/>
  <c r="H16" i="38"/>
  <c r="H174" i="38"/>
  <c r="H170" i="38"/>
  <c r="K13" i="38"/>
  <c r="H163" i="38"/>
  <c r="M183" i="38"/>
  <c r="H159" i="38"/>
  <c r="H38" i="38"/>
  <c r="H31" i="38"/>
  <c r="H155" i="38"/>
  <c r="H64" i="38"/>
  <c r="H50" i="38"/>
  <c r="H66" i="38"/>
  <c r="H53" i="38"/>
  <c r="H45" i="38"/>
  <c r="H48" i="38"/>
  <c r="H56" i="38"/>
  <c r="H65" i="38"/>
  <c r="H109" i="38"/>
  <c r="H88" i="38"/>
  <c r="H145" i="38"/>
  <c r="H37" i="38"/>
  <c r="H107" i="38"/>
  <c r="H71" i="38"/>
  <c r="H153" i="38"/>
  <c r="H52" i="38"/>
  <c r="H175" i="38"/>
  <c r="H160" i="38"/>
  <c r="H98" i="38"/>
  <c r="H146" i="38"/>
  <c r="H121" i="38"/>
  <c r="H67" i="38"/>
  <c r="H22" i="38"/>
  <c r="H124" i="38"/>
  <c r="H105" i="38"/>
  <c r="H84" i="38"/>
  <c r="H123" i="38"/>
  <c r="H30" i="38"/>
  <c r="H171" i="38"/>
  <c r="H70" i="38"/>
  <c r="H113" i="38"/>
  <c r="H83" i="38"/>
  <c r="H24" i="38"/>
  <c r="H143" i="38"/>
  <c r="H180" i="38"/>
  <c r="H51" i="38"/>
  <c r="H134" i="38"/>
  <c r="H90" i="38"/>
  <c r="H28" i="38"/>
  <c r="H169" i="38"/>
  <c r="H106" i="38"/>
  <c r="H33" i="38"/>
  <c r="H43" i="38"/>
  <c r="H173" i="38"/>
  <c r="H108" i="38"/>
  <c r="H138" i="38"/>
  <c r="H40" i="38"/>
  <c r="H139" i="38"/>
  <c r="H164" i="38"/>
  <c r="C208" i="19"/>
  <c r="C207" i="19"/>
  <c r="C206" i="19"/>
  <c r="C205" i="19"/>
  <c r="C202" i="19"/>
  <c r="C201" i="19"/>
  <c r="C197" i="19"/>
  <c r="C196" i="19"/>
  <c r="C195" i="19"/>
  <c r="C194" i="19"/>
  <c r="C186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6" i="19"/>
  <c r="C146" i="19"/>
  <c r="D145" i="19"/>
  <c r="C145" i="19"/>
  <c r="D144" i="19"/>
  <c r="C144" i="19"/>
  <c r="D143" i="19"/>
  <c r="C143" i="19"/>
  <c r="D142" i="19"/>
  <c r="C142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17" i="19"/>
  <c r="C117" i="19"/>
  <c r="D116" i="19"/>
  <c r="C116" i="19"/>
  <c r="D115" i="19"/>
  <c r="C115" i="19"/>
  <c r="D114" i="19"/>
  <c r="C114" i="19"/>
  <c r="D113" i="19"/>
  <c r="C113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16" i="19"/>
  <c r="C16" i="19"/>
  <c r="D15" i="19"/>
  <c r="C15" i="19"/>
  <c r="D14" i="19"/>
  <c r="C14" i="19"/>
  <c r="D13" i="19"/>
  <c r="C13" i="19"/>
  <c r="D12" i="19"/>
  <c r="C12" i="19"/>
  <c r="H104" i="38" l="1"/>
  <c r="H168" i="38"/>
  <c r="H74" i="38"/>
  <c r="H49" i="38"/>
  <c r="H161" i="38"/>
  <c r="H41" i="38"/>
  <c r="H32" i="38"/>
  <c r="H86" i="38"/>
  <c r="H25" i="38"/>
  <c r="H167" i="38"/>
  <c r="H130" i="38"/>
  <c r="H55" i="38"/>
  <c r="H73" i="38"/>
  <c r="H61" i="38"/>
  <c r="H82" i="38"/>
  <c r="H135" i="38"/>
  <c r="H39" i="38"/>
  <c r="H131" i="38"/>
  <c r="H162" i="38"/>
  <c r="H63" i="38"/>
  <c r="H176" i="38"/>
  <c r="H150" i="38"/>
  <c r="H76" i="38"/>
  <c r="H97" i="38"/>
  <c r="H151" i="38"/>
  <c r="H54" i="38"/>
  <c r="H34" i="38"/>
  <c r="H27" i="38"/>
  <c r="H81" i="38"/>
  <c r="H183" i="38"/>
  <c r="H21" i="38"/>
  <c r="H57" i="38"/>
  <c r="H60" i="38"/>
  <c r="H110" i="38"/>
  <c r="H142" i="38"/>
  <c r="H158" i="38"/>
  <c r="H26" i="38"/>
  <c r="H152" i="38"/>
  <c r="H44" i="38"/>
  <c r="H100" i="38"/>
  <c r="H133" i="38"/>
  <c r="H157" i="38"/>
  <c r="H137" i="38"/>
  <c r="H177" i="38"/>
  <c r="H128" i="38"/>
  <c r="H172" i="38"/>
  <c r="H80" i="38"/>
  <c r="H75" i="38"/>
  <c r="H47" i="38"/>
  <c r="H68" i="38"/>
  <c r="H115" i="38"/>
  <c r="H156" i="38"/>
  <c r="H91" i="38"/>
  <c r="H114" i="38"/>
  <c r="H129" i="38"/>
  <c r="H69" i="38"/>
  <c r="H23" i="38"/>
  <c r="H179" i="38"/>
  <c r="H46" i="38"/>
  <c r="H99" i="38"/>
  <c r="H116" i="38"/>
  <c r="H72" i="38"/>
  <c r="H136" i="38"/>
  <c r="H92" i="38"/>
  <c r="H95" i="38"/>
  <c r="F206" i="38"/>
  <c r="F207" i="38"/>
  <c r="C118" i="19"/>
  <c r="H181" i="38"/>
  <c r="H29" i="38"/>
  <c r="H35" i="38"/>
  <c r="H87" i="38"/>
  <c r="H154" i="38"/>
  <c r="H36" i="38"/>
  <c r="H62" i="38"/>
  <c r="H127" i="38"/>
  <c r="H125" i="38"/>
  <c r="H96" i="38"/>
  <c r="H122" i="38"/>
  <c r="H144" i="38"/>
  <c r="H126" i="38"/>
  <c r="H85" i="38"/>
  <c r="H117" i="38"/>
  <c r="H42" i="38"/>
  <c r="H178" i="38"/>
  <c r="G190" i="38"/>
  <c r="G208" i="38"/>
  <c r="D147" i="19"/>
  <c r="C198" i="19"/>
  <c r="C17" i="19"/>
  <c r="C164" i="19"/>
  <c r="C147" i="19"/>
  <c r="D92" i="19"/>
  <c r="D101" i="19"/>
  <c r="D118" i="19"/>
  <c r="D164" i="19"/>
  <c r="C110" i="19"/>
  <c r="C139" i="19"/>
  <c r="D17" i="19"/>
  <c r="D77" i="19"/>
  <c r="D181" i="19"/>
  <c r="D110" i="19"/>
  <c r="D139" i="19"/>
  <c r="C57" i="19"/>
  <c r="C77" i="19"/>
  <c r="C181" i="19"/>
  <c r="C92" i="19"/>
  <c r="C101" i="19"/>
  <c r="D57" i="19"/>
  <c r="M190" i="38" l="1"/>
  <c r="C183" i="19"/>
  <c r="C187" i="19" s="1"/>
  <c r="F208" i="38"/>
  <c r="D183" i="19"/>
  <c r="D190" i="19" s="1"/>
  <c r="C190" i="19" l="1"/>
  <c r="C208" i="20"/>
  <c r="C207" i="20"/>
  <c r="C206" i="20"/>
  <c r="C205" i="20"/>
  <c r="C202" i="20"/>
  <c r="C201" i="20"/>
  <c r="C197" i="20"/>
  <c r="C196" i="20"/>
  <c r="C195" i="20"/>
  <c r="C194" i="20"/>
  <c r="C186" i="20"/>
  <c r="D180" i="20"/>
  <c r="C180" i="20"/>
  <c r="D179" i="20"/>
  <c r="C179" i="20"/>
  <c r="D178" i="20"/>
  <c r="C178" i="20"/>
  <c r="D177" i="20"/>
  <c r="C177" i="20"/>
  <c r="D176" i="20"/>
  <c r="C176" i="20"/>
  <c r="D175" i="20"/>
  <c r="C175" i="20"/>
  <c r="D174" i="20"/>
  <c r="C174" i="20"/>
  <c r="D173" i="20"/>
  <c r="C173" i="20"/>
  <c r="D172" i="20"/>
  <c r="C172" i="20"/>
  <c r="D171" i="20"/>
  <c r="C171" i="20"/>
  <c r="D170" i="20"/>
  <c r="C170" i="20"/>
  <c r="D169" i="20"/>
  <c r="C169" i="20"/>
  <c r="D168" i="20"/>
  <c r="C168" i="20"/>
  <c r="D167" i="20"/>
  <c r="C167" i="20"/>
  <c r="D163" i="20"/>
  <c r="C163" i="20"/>
  <c r="D162" i="20"/>
  <c r="C162" i="20"/>
  <c r="D161" i="20"/>
  <c r="C161" i="20"/>
  <c r="D160" i="20"/>
  <c r="C160" i="20"/>
  <c r="D159" i="20"/>
  <c r="C159" i="20"/>
  <c r="D158" i="20"/>
  <c r="C158" i="20"/>
  <c r="D157" i="20"/>
  <c r="C157" i="20"/>
  <c r="D156" i="20"/>
  <c r="C156" i="20"/>
  <c r="D155" i="20"/>
  <c r="C155" i="20"/>
  <c r="D154" i="20"/>
  <c r="C154" i="20"/>
  <c r="D153" i="20"/>
  <c r="C153" i="20"/>
  <c r="D152" i="20"/>
  <c r="C152" i="20"/>
  <c r="D151" i="20"/>
  <c r="C151" i="20"/>
  <c r="D150" i="20"/>
  <c r="C150" i="20"/>
  <c r="D146" i="20"/>
  <c r="C146" i="20"/>
  <c r="D145" i="20"/>
  <c r="C145" i="20"/>
  <c r="D144" i="20"/>
  <c r="C144" i="20"/>
  <c r="D143" i="20"/>
  <c r="C143" i="20"/>
  <c r="D142" i="20"/>
  <c r="C142" i="20"/>
  <c r="D138" i="20"/>
  <c r="C138" i="20"/>
  <c r="D137" i="20"/>
  <c r="C137" i="20"/>
  <c r="D136" i="20"/>
  <c r="C136" i="20"/>
  <c r="D135" i="20"/>
  <c r="C135" i="20"/>
  <c r="D134" i="20"/>
  <c r="C134" i="20"/>
  <c r="D133" i="20"/>
  <c r="C133" i="20"/>
  <c r="D131" i="20"/>
  <c r="C131" i="20"/>
  <c r="D130" i="20"/>
  <c r="C130" i="20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17" i="20"/>
  <c r="C117" i="20"/>
  <c r="D116" i="20"/>
  <c r="C116" i="20"/>
  <c r="D115" i="20"/>
  <c r="C115" i="20"/>
  <c r="D114" i="20"/>
  <c r="C114" i="20"/>
  <c r="D113" i="20"/>
  <c r="C113" i="20"/>
  <c r="D109" i="20"/>
  <c r="C109" i="20"/>
  <c r="D108" i="20"/>
  <c r="C108" i="20"/>
  <c r="D107" i="20"/>
  <c r="C107" i="20"/>
  <c r="D106" i="20"/>
  <c r="C106" i="20"/>
  <c r="D105" i="20"/>
  <c r="C105" i="20"/>
  <c r="D104" i="20"/>
  <c r="C104" i="20"/>
  <c r="D100" i="20"/>
  <c r="C100" i="20"/>
  <c r="D99" i="20"/>
  <c r="C99" i="20"/>
  <c r="D98" i="20"/>
  <c r="C98" i="20"/>
  <c r="D97" i="20"/>
  <c r="C97" i="20"/>
  <c r="D96" i="20"/>
  <c r="C96" i="20"/>
  <c r="D95" i="20"/>
  <c r="C95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16" i="20"/>
  <c r="C16" i="20"/>
  <c r="D15" i="20"/>
  <c r="C15" i="20"/>
  <c r="D14" i="20"/>
  <c r="C14" i="20"/>
  <c r="D13" i="20"/>
  <c r="C13" i="20"/>
  <c r="D12" i="20"/>
  <c r="C12" i="20"/>
  <c r="D17" i="20" l="1"/>
  <c r="D77" i="20"/>
  <c r="D147" i="20"/>
  <c r="D139" i="20"/>
  <c r="D118" i="20"/>
  <c r="C101" i="20"/>
  <c r="C164" i="20"/>
  <c r="C198" i="20"/>
  <c r="C139" i="20"/>
  <c r="C77" i="20"/>
  <c r="C92" i="20"/>
  <c r="C118" i="20"/>
  <c r="D101" i="20"/>
  <c r="D164" i="20"/>
  <c r="C17" i="20"/>
  <c r="C110" i="20"/>
  <c r="C181" i="20"/>
  <c r="C57" i="20"/>
  <c r="D92" i="20"/>
  <c r="D110" i="20"/>
  <c r="C147" i="20"/>
  <c r="D181" i="20"/>
  <c r="D57" i="20"/>
  <c r="D183" i="20" l="1"/>
  <c r="D190" i="20" s="1"/>
  <c r="C183" i="20"/>
  <c r="C187" i="20" s="1"/>
  <c r="C190" i="20" l="1"/>
  <c r="F91" i="24"/>
  <c r="F91" i="20" l="1"/>
  <c r="F91" i="19" l="1"/>
  <c r="F129" i="24" l="1"/>
  <c r="F89" i="24"/>
  <c r="F88" i="24"/>
  <c r="F87" i="24"/>
  <c r="F83" i="24"/>
  <c r="F34" i="24"/>
  <c r="F129" i="20" l="1"/>
  <c r="F89" i="20"/>
  <c r="F88" i="20" l="1"/>
  <c r="F87" i="20"/>
  <c r="F86" i="20"/>
  <c r="F129" i="19" l="1"/>
  <c r="F89" i="19"/>
  <c r="F88" i="19"/>
  <c r="F83" i="19"/>
  <c r="F60" i="19"/>
  <c r="F34" i="19"/>
  <c r="F83" i="21" l="1"/>
  <c r="F56" i="21"/>
  <c r="C208" i="13" l="1"/>
  <c r="C207" i="13"/>
  <c r="C206" i="13"/>
  <c r="C205" i="13"/>
  <c r="C203" i="13"/>
  <c r="C202" i="13"/>
  <c r="C201" i="13"/>
  <c r="C197" i="13"/>
  <c r="C196" i="13"/>
  <c r="C195" i="13"/>
  <c r="C194" i="13"/>
  <c r="C186" i="13"/>
  <c r="D180" i="13"/>
  <c r="C180" i="13"/>
  <c r="D179" i="13"/>
  <c r="C179" i="13"/>
  <c r="D178" i="13"/>
  <c r="C178" i="13"/>
  <c r="D177" i="13"/>
  <c r="C177" i="13"/>
  <c r="D176" i="13"/>
  <c r="C176" i="13"/>
  <c r="D175" i="13"/>
  <c r="C175" i="13"/>
  <c r="D174" i="13"/>
  <c r="C174" i="13"/>
  <c r="D173" i="13"/>
  <c r="C173" i="13"/>
  <c r="D172" i="13"/>
  <c r="C172" i="13"/>
  <c r="D171" i="13"/>
  <c r="C171" i="13"/>
  <c r="D170" i="13"/>
  <c r="C170" i="13"/>
  <c r="D169" i="13"/>
  <c r="C169" i="13"/>
  <c r="D168" i="13"/>
  <c r="C168" i="13"/>
  <c r="D167" i="13"/>
  <c r="C167" i="13"/>
  <c r="D163" i="13"/>
  <c r="C163" i="13"/>
  <c r="D162" i="13"/>
  <c r="C162" i="13"/>
  <c r="D161" i="13"/>
  <c r="C161" i="13"/>
  <c r="D160" i="13"/>
  <c r="C160" i="13"/>
  <c r="D159" i="13"/>
  <c r="C159" i="13"/>
  <c r="D158" i="13"/>
  <c r="C158" i="13"/>
  <c r="D157" i="13"/>
  <c r="C157" i="13"/>
  <c r="D156" i="13"/>
  <c r="C156" i="13"/>
  <c r="D155" i="13"/>
  <c r="C155" i="13"/>
  <c r="D154" i="13"/>
  <c r="C154" i="13"/>
  <c r="D153" i="13"/>
  <c r="C153" i="13"/>
  <c r="D152" i="13"/>
  <c r="C152" i="13"/>
  <c r="D151" i="13"/>
  <c r="C151" i="13"/>
  <c r="D150" i="13"/>
  <c r="C150" i="13"/>
  <c r="D146" i="13"/>
  <c r="C146" i="13"/>
  <c r="D145" i="13"/>
  <c r="C145" i="13"/>
  <c r="D144" i="13"/>
  <c r="C144" i="13"/>
  <c r="D143" i="13"/>
  <c r="C143" i="13"/>
  <c r="D142" i="13"/>
  <c r="C142" i="13"/>
  <c r="D138" i="13"/>
  <c r="C138" i="13"/>
  <c r="D137" i="13"/>
  <c r="C137" i="13"/>
  <c r="D136" i="13"/>
  <c r="C136" i="13"/>
  <c r="D135" i="13"/>
  <c r="C135" i="13"/>
  <c r="D134" i="13"/>
  <c r="C134" i="13"/>
  <c r="D133" i="13"/>
  <c r="C133" i="13"/>
  <c r="D131" i="13"/>
  <c r="C131" i="13"/>
  <c r="D130" i="13"/>
  <c r="C130" i="13"/>
  <c r="D129" i="13"/>
  <c r="C129" i="13"/>
  <c r="D128" i="13"/>
  <c r="C128" i="13"/>
  <c r="D127" i="13"/>
  <c r="C127" i="13"/>
  <c r="D126" i="13"/>
  <c r="C126" i="13"/>
  <c r="D125" i="13"/>
  <c r="C125" i="13"/>
  <c r="D124" i="13"/>
  <c r="C124" i="13"/>
  <c r="D123" i="13"/>
  <c r="C123" i="13"/>
  <c r="D122" i="13"/>
  <c r="C122" i="13"/>
  <c r="D121" i="13"/>
  <c r="C121" i="13"/>
  <c r="D117" i="13"/>
  <c r="C117" i="13"/>
  <c r="D116" i="13"/>
  <c r="C116" i="13"/>
  <c r="D115" i="13"/>
  <c r="C115" i="13"/>
  <c r="D114" i="13"/>
  <c r="C114" i="13"/>
  <c r="D113" i="13"/>
  <c r="C113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1" i="13"/>
  <c r="C91" i="13"/>
  <c r="D90" i="13"/>
  <c r="C90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80" i="13"/>
  <c r="C80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16" i="13"/>
  <c r="C16" i="13"/>
  <c r="D15" i="13"/>
  <c r="C15" i="13"/>
  <c r="D14" i="13"/>
  <c r="C14" i="13"/>
  <c r="D13" i="13"/>
  <c r="C13" i="13"/>
  <c r="D12" i="13"/>
  <c r="C12" i="13"/>
  <c r="C164" i="13" l="1"/>
  <c r="C17" i="13"/>
  <c r="C139" i="13"/>
  <c r="D17" i="13"/>
  <c r="D147" i="13"/>
  <c r="C57" i="13"/>
  <c r="D57" i="13"/>
  <c r="D181" i="13"/>
  <c r="C77" i="13"/>
  <c r="C92" i="13"/>
  <c r="C110" i="13"/>
  <c r="C118" i="13"/>
  <c r="C101" i="13"/>
  <c r="C147" i="13"/>
  <c r="D139" i="13"/>
  <c r="C181" i="13"/>
  <c r="D77" i="13"/>
  <c r="D164" i="13"/>
  <c r="C198" i="13"/>
  <c r="D92" i="13"/>
  <c r="D101" i="13"/>
  <c r="D110" i="13"/>
  <c r="D118" i="13"/>
  <c r="D183" i="13" l="1"/>
  <c r="D190" i="13" s="1"/>
  <c r="C183" i="13"/>
  <c r="C187" i="13" s="1"/>
  <c r="C190" i="13" l="1"/>
  <c r="K150" i="25"/>
  <c r="J150" i="25"/>
  <c r="K121" i="25" l="1"/>
  <c r="J121" i="25"/>
  <c r="K95" i="25"/>
  <c r="J95" i="25"/>
  <c r="K23" i="25"/>
  <c r="K21" i="25"/>
  <c r="J23" i="25"/>
  <c r="J21" i="25"/>
  <c r="C203" i="25"/>
  <c r="C208" i="25" l="1"/>
  <c r="C207" i="25"/>
  <c r="C206" i="25"/>
  <c r="C205" i="25"/>
  <c r="C202" i="25"/>
  <c r="C201" i="25"/>
  <c r="C197" i="25"/>
  <c r="C196" i="25"/>
  <c r="C195" i="25"/>
  <c r="C194" i="25"/>
  <c r="C186" i="25"/>
  <c r="D180" i="25"/>
  <c r="C180" i="25"/>
  <c r="D179" i="25"/>
  <c r="C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D172" i="25"/>
  <c r="C172" i="25"/>
  <c r="D171" i="25"/>
  <c r="C171" i="25"/>
  <c r="D170" i="25"/>
  <c r="C170" i="25"/>
  <c r="D169" i="25"/>
  <c r="C169" i="25"/>
  <c r="D168" i="25"/>
  <c r="C168" i="25"/>
  <c r="D167" i="25"/>
  <c r="C167" i="25"/>
  <c r="D163" i="25"/>
  <c r="C163" i="25"/>
  <c r="D162" i="25"/>
  <c r="C162" i="25"/>
  <c r="D161" i="25"/>
  <c r="C161" i="25"/>
  <c r="D160" i="25"/>
  <c r="C160" i="25"/>
  <c r="D159" i="25"/>
  <c r="C159" i="25"/>
  <c r="D158" i="25"/>
  <c r="C158" i="25"/>
  <c r="D157" i="25"/>
  <c r="C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D150" i="25"/>
  <c r="C150" i="25"/>
  <c r="D146" i="25"/>
  <c r="C146" i="25"/>
  <c r="D145" i="25"/>
  <c r="C145" i="25"/>
  <c r="D144" i="25"/>
  <c r="C144" i="25"/>
  <c r="D143" i="25"/>
  <c r="C143" i="25"/>
  <c r="D142" i="25"/>
  <c r="C142" i="25"/>
  <c r="D138" i="25"/>
  <c r="C138" i="25"/>
  <c r="D137" i="25"/>
  <c r="C137" i="25"/>
  <c r="D136" i="25"/>
  <c r="C136" i="25"/>
  <c r="D135" i="25"/>
  <c r="C135" i="25"/>
  <c r="D134" i="25"/>
  <c r="C134" i="25"/>
  <c r="D133" i="25"/>
  <c r="C133" i="25"/>
  <c r="D131" i="25"/>
  <c r="C131" i="25"/>
  <c r="D130" i="25"/>
  <c r="C130" i="25"/>
  <c r="D129" i="25"/>
  <c r="C129" i="25"/>
  <c r="D128" i="25"/>
  <c r="C128" i="25"/>
  <c r="D127" i="25"/>
  <c r="C127" i="25"/>
  <c r="D126" i="25"/>
  <c r="C126" i="25"/>
  <c r="D125" i="25"/>
  <c r="C125" i="25"/>
  <c r="D124" i="25"/>
  <c r="C124" i="25"/>
  <c r="D123" i="25"/>
  <c r="C123" i="25"/>
  <c r="D122" i="25"/>
  <c r="C122" i="25"/>
  <c r="D121" i="25"/>
  <c r="C121" i="25"/>
  <c r="D117" i="25"/>
  <c r="C117" i="25"/>
  <c r="D116" i="25"/>
  <c r="C116" i="25"/>
  <c r="D115" i="25"/>
  <c r="C115" i="25"/>
  <c r="D114" i="25"/>
  <c r="C114" i="25"/>
  <c r="D113" i="25"/>
  <c r="C113" i="25"/>
  <c r="D109" i="25"/>
  <c r="C109" i="25"/>
  <c r="D108" i="25"/>
  <c r="C108" i="25"/>
  <c r="D107" i="25"/>
  <c r="C107" i="25"/>
  <c r="D106" i="25"/>
  <c r="C106" i="25"/>
  <c r="D105" i="25"/>
  <c r="C105" i="25"/>
  <c r="D104" i="25"/>
  <c r="C104" i="25"/>
  <c r="D100" i="25"/>
  <c r="C100" i="25"/>
  <c r="D99" i="25"/>
  <c r="C99" i="25"/>
  <c r="D98" i="25"/>
  <c r="C98" i="25"/>
  <c r="D97" i="25"/>
  <c r="C97" i="25"/>
  <c r="D96" i="25"/>
  <c r="C96" i="25"/>
  <c r="D95" i="25"/>
  <c r="C95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16" i="25"/>
  <c r="C16" i="25"/>
  <c r="D15" i="25"/>
  <c r="C15" i="25"/>
  <c r="D14" i="25"/>
  <c r="C14" i="25"/>
  <c r="D13" i="25"/>
  <c r="C13" i="25"/>
  <c r="D12" i="25"/>
  <c r="C12" i="25"/>
  <c r="C198" i="25" l="1"/>
  <c r="D118" i="25"/>
  <c r="D147" i="25"/>
  <c r="C139" i="25"/>
  <c r="D139" i="25"/>
  <c r="C17" i="25"/>
  <c r="C57" i="25"/>
  <c r="C77" i="25"/>
  <c r="C147" i="25"/>
  <c r="C181" i="25"/>
  <c r="D17" i="25"/>
  <c r="D181" i="25"/>
  <c r="C92" i="25"/>
  <c r="C164" i="25"/>
  <c r="D92" i="25"/>
  <c r="D101" i="25"/>
  <c r="D110" i="25"/>
  <c r="D77" i="25"/>
  <c r="D164" i="25"/>
  <c r="C110" i="25"/>
  <c r="C101" i="25"/>
  <c r="C118" i="25"/>
  <c r="D57" i="25"/>
  <c r="D183" i="25" l="1"/>
  <c r="D190" i="25" s="1"/>
  <c r="C183" i="25"/>
  <c r="C187" i="25" s="1"/>
  <c r="C190" i="25" l="1"/>
  <c r="C208" i="11"/>
  <c r="C207" i="11"/>
  <c r="C206" i="11"/>
  <c r="C205" i="11"/>
  <c r="C203" i="11"/>
  <c r="C202" i="11"/>
  <c r="C201" i="11"/>
  <c r="C197" i="11"/>
  <c r="C196" i="11"/>
  <c r="C195" i="11"/>
  <c r="C194" i="11"/>
  <c r="C186" i="11"/>
  <c r="D180" i="11"/>
  <c r="C180" i="11"/>
  <c r="D179" i="11"/>
  <c r="C179" i="11"/>
  <c r="D178" i="11"/>
  <c r="C178" i="11"/>
  <c r="D177" i="11"/>
  <c r="C177" i="11"/>
  <c r="D176" i="11"/>
  <c r="C176" i="11"/>
  <c r="D175" i="11"/>
  <c r="C175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8" i="11"/>
  <c r="C168" i="11"/>
  <c r="D167" i="11"/>
  <c r="D181" i="11" s="1"/>
  <c r="C167" i="11"/>
  <c r="D163" i="11"/>
  <c r="C163" i="11"/>
  <c r="D162" i="11"/>
  <c r="C162" i="11"/>
  <c r="D161" i="11"/>
  <c r="C161" i="11"/>
  <c r="D160" i="11"/>
  <c r="C160" i="11"/>
  <c r="D159" i="11"/>
  <c r="C159" i="11"/>
  <c r="D158" i="11"/>
  <c r="C158" i="11"/>
  <c r="D157" i="11"/>
  <c r="C157" i="11"/>
  <c r="D156" i="11"/>
  <c r="C156" i="11"/>
  <c r="D155" i="11"/>
  <c r="C155" i="11"/>
  <c r="D154" i="11"/>
  <c r="C154" i="11"/>
  <c r="D153" i="11"/>
  <c r="C153" i="11"/>
  <c r="D152" i="11"/>
  <c r="C152" i="11"/>
  <c r="D151" i="11"/>
  <c r="C151" i="11"/>
  <c r="D150" i="11"/>
  <c r="C150" i="11"/>
  <c r="D146" i="11"/>
  <c r="C146" i="11"/>
  <c r="D145" i="11"/>
  <c r="C145" i="11"/>
  <c r="D144" i="11"/>
  <c r="C144" i="11"/>
  <c r="D143" i="11"/>
  <c r="C143" i="11"/>
  <c r="D142" i="11"/>
  <c r="C142" i="11"/>
  <c r="D138" i="11"/>
  <c r="C138" i="11"/>
  <c r="D137" i="11"/>
  <c r="C137" i="11"/>
  <c r="D136" i="11"/>
  <c r="C136" i="11"/>
  <c r="D135" i="11"/>
  <c r="C135" i="11"/>
  <c r="D134" i="11"/>
  <c r="C134" i="11"/>
  <c r="D133" i="11"/>
  <c r="C133" i="11"/>
  <c r="D131" i="11"/>
  <c r="C131" i="11"/>
  <c r="D130" i="11"/>
  <c r="C130" i="11"/>
  <c r="D129" i="11"/>
  <c r="C129" i="11"/>
  <c r="D128" i="11"/>
  <c r="C128" i="11"/>
  <c r="D127" i="11"/>
  <c r="C127" i="11"/>
  <c r="D126" i="11"/>
  <c r="C126" i="11"/>
  <c r="D125" i="11"/>
  <c r="C125" i="11"/>
  <c r="D124" i="11"/>
  <c r="C124" i="11"/>
  <c r="D123" i="11"/>
  <c r="C123" i="11"/>
  <c r="D122" i="11"/>
  <c r="C122" i="11"/>
  <c r="D121" i="11"/>
  <c r="D139" i="11" s="1"/>
  <c r="C121" i="11"/>
  <c r="D117" i="11"/>
  <c r="C117" i="11"/>
  <c r="D116" i="11"/>
  <c r="C116" i="11"/>
  <c r="D115" i="11"/>
  <c r="C115" i="11"/>
  <c r="D114" i="11"/>
  <c r="C114" i="11"/>
  <c r="D113" i="11"/>
  <c r="C113" i="11"/>
  <c r="D109" i="11"/>
  <c r="C109" i="11"/>
  <c r="D108" i="11"/>
  <c r="C108" i="11"/>
  <c r="D107" i="11"/>
  <c r="C107" i="11"/>
  <c r="D106" i="11"/>
  <c r="C106" i="11"/>
  <c r="D105" i="11"/>
  <c r="C105" i="11"/>
  <c r="D104" i="11"/>
  <c r="C104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16" i="11"/>
  <c r="C16" i="11"/>
  <c r="D15" i="11"/>
  <c r="C15" i="11"/>
  <c r="D14" i="11"/>
  <c r="C14" i="11"/>
  <c r="D13" i="11"/>
  <c r="C13" i="11"/>
  <c r="D12" i="11"/>
  <c r="C12" i="11"/>
  <c r="C198" i="11" l="1"/>
  <c r="C110" i="11"/>
  <c r="D17" i="11"/>
  <c r="D110" i="11"/>
  <c r="C147" i="11"/>
  <c r="C92" i="11"/>
  <c r="C101" i="11"/>
  <c r="C17" i="11"/>
  <c r="C77" i="11"/>
  <c r="D92" i="11"/>
  <c r="D101" i="11"/>
  <c r="D118" i="11"/>
  <c r="D147" i="11"/>
  <c r="C164" i="11"/>
  <c r="D77" i="11"/>
  <c r="D164" i="11"/>
  <c r="C118" i="11"/>
  <c r="C139" i="11"/>
  <c r="C181" i="11"/>
  <c r="C57" i="11"/>
  <c r="D57" i="11"/>
  <c r="C183" i="11" l="1"/>
  <c r="C190" i="11" s="1"/>
  <c r="D183" i="11"/>
  <c r="D190" i="11" s="1"/>
  <c r="C187" i="11" l="1"/>
  <c r="C208" i="10"/>
  <c r="C207" i="10"/>
  <c r="C206" i="10"/>
  <c r="C205" i="10"/>
  <c r="C203" i="10"/>
  <c r="C202" i="10"/>
  <c r="C201" i="10"/>
  <c r="C197" i="10"/>
  <c r="C196" i="10"/>
  <c r="C195" i="10"/>
  <c r="C194" i="10"/>
  <c r="C186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6" i="10"/>
  <c r="C146" i="10"/>
  <c r="D145" i="10"/>
  <c r="C145" i="10"/>
  <c r="D144" i="10"/>
  <c r="C144" i="10"/>
  <c r="D143" i="10"/>
  <c r="C143" i="10"/>
  <c r="D142" i="10"/>
  <c r="C142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17" i="10"/>
  <c r="C117" i="10"/>
  <c r="D116" i="10"/>
  <c r="C116" i="10"/>
  <c r="D115" i="10"/>
  <c r="C115" i="10"/>
  <c r="D114" i="10"/>
  <c r="C114" i="10"/>
  <c r="D113" i="10"/>
  <c r="C113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16" i="10"/>
  <c r="C16" i="10"/>
  <c r="D15" i="10"/>
  <c r="C15" i="10"/>
  <c r="D14" i="10"/>
  <c r="C14" i="10"/>
  <c r="D13" i="10"/>
  <c r="C13" i="10"/>
  <c r="D12" i="10"/>
  <c r="C12" i="10"/>
  <c r="C198" i="10" l="1"/>
  <c r="D181" i="10"/>
  <c r="D110" i="10"/>
  <c r="D147" i="10"/>
  <c r="C164" i="10"/>
  <c r="C92" i="10"/>
  <c r="D118" i="10"/>
  <c r="C101" i="10"/>
  <c r="C17" i="10"/>
  <c r="C77" i="10"/>
  <c r="D17" i="10"/>
  <c r="D77" i="10"/>
  <c r="C147" i="10"/>
  <c r="D92" i="10"/>
  <c r="C139" i="10"/>
  <c r="D101" i="10"/>
  <c r="D164" i="10"/>
  <c r="C118" i="10"/>
  <c r="C110" i="10"/>
  <c r="D139" i="10"/>
  <c r="C181" i="10"/>
  <c r="D57" i="10"/>
  <c r="C57" i="10"/>
  <c r="C183" i="10" l="1"/>
  <c r="C187" i="10" s="1"/>
  <c r="D183" i="10"/>
  <c r="D190" i="10" s="1"/>
  <c r="C190" i="10" l="1"/>
  <c r="K150" i="24"/>
  <c r="J150" i="24"/>
  <c r="K123" i="24"/>
  <c r="K121" i="24"/>
  <c r="J123" i="24"/>
  <c r="J121" i="24"/>
  <c r="K104" i="24"/>
  <c r="J104" i="24"/>
  <c r="K95" i="24"/>
  <c r="J95" i="24"/>
  <c r="K80" i="24"/>
  <c r="J80" i="24"/>
  <c r="K23" i="24"/>
  <c r="K21" i="24"/>
  <c r="J23" i="24"/>
  <c r="J21" i="24"/>
  <c r="K150" i="23" l="1"/>
  <c r="J150" i="23"/>
  <c r="K121" i="23"/>
  <c r="J121" i="23"/>
  <c r="K23" i="23"/>
  <c r="K21" i="23"/>
  <c r="J23" i="23"/>
  <c r="J21" i="23"/>
  <c r="C203" i="23" l="1"/>
  <c r="C208" i="23" l="1"/>
  <c r="C207" i="23"/>
  <c r="C206" i="23"/>
  <c r="C205" i="23"/>
  <c r="C202" i="23"/>
  <c r="C201" i="23"/>
  <c r="C197" i="23"/>
  <c r="C196" i="23"/>
  <c r="C195" i="23"/>
  <c r="C194" i="23"/>
  <c r="C186" i="23"/>
  <c r="D180" i="23"/>
  <c r="C180" i="23"/>
  <c r="D179" i="23"/>
  <c r="C179" i="23"/>
  <c r="D178" i="23"/>
  <c r="C178" i="23"/>
  <c r="D177" i="23"/>
  <c r="C177" i="23"/>
  <c r="D176" i="23"/>
  <c r="C176" i="23"/>
  <c r="D175" i="23"/>
  <c r="C175" i="23"/>
  <c r="D174" i="23"/>
  <c r="C174" i="23"/>
  <c r="D173" i="23"/>
  <c r="C173" i="23"/>
  <c r="D172" i="23"/>
  <c r="C172" i="23"/>
  <c r="D171" i="23"/>
  <c r="C171" i="23"/>
  <c r="D170" i="23"/>
  <c r="C170" i="23"/>
  <c r="D169" i="23"/>
  <c r="C169" i="23"/>
  <c r="D168" i="23"/>
  <c r="C168" i="23"/>
  <c r="D167" i="23"/>
  <c r="C167" i="23"/>
  <c r="D163" i="23"/>
  <c r="C163" i="23"/>
  <c r="D162" i="23"/>
  <c r="C162" i="23"/>
  <c r="D161" i="23"/>
  <c r="C161" i="23"/>
  <c r="D160" i="23"/>
  <c r="C160" i="23"/>
  <c r="D159" i="23"/>
  <c r="C159" i="23"/>
  <c r="D158" i="23"/>
  <c r="C158" i="23"/>
  <c r="D157" i="23"/>
  <c r="C157" i="23"/>
  <c r="D156" i="23"/>
  <c r="C156" i="23"/>
  <c r="D155" i="23"/>
  <c r="C155" i="23"/>
  <c r="D154" i="23"/>
  <c r="C154" i="23"/>
  <c r="D153" i="23"/>
  <c r="C153" i="23"/>
  <c r="D152" i="23"/>
  <c r="C152" i="23"/>
  <c r="D151" i="23"/>
  <c r="C151" i="23"/>
  <c r="D150" i="23"/>
  <c r="C150" i="23"/>
  <c r="D146" i="23"/>
  <c r="C146" i="23"/>
  <c r="D145" i="23"/>
  <c r="C145" i="23"/>
  <c r="D144" i="23"/>
  <c r="C144" i="23"/>
  <c r="D143" i="23"/>
  <c r="C143" i="23"/>
  <c r="D142" i="23"/>
  <c r="C142" i="23"/>
  <c r="D138" i="23"/>
  <c r="C138" i="23"/>
  <c r="D137" i="23"/>
  <c r="C137" i="23"/>
  <c r="D136" i="23"/>
  <c r="C136" i="23"/>
  <c r="D135" i="23"/>
  <c r="C135" i="23"/>
  <c r="D134" i="23"/>
  <c r="C134" i="23"/>
  <c r="D133" i="23"/>
  <c r="C133" i="23"/>
  <c r="D131" i="23"/>
  <c r="C131" i="23"/>
  <c r="D130" i="23"/>
  <c r="C130" i="23"/>
  <c r="D129" i="23"/>
  <c r="C129" i="23"/>
  <c r="D128" i="23"/>
  <c r="C128" i="23"/>
  <c r="D127" i="23"/>
  <c r="C127" i="23"/>
  <c r="D126" i="23"/>
  <c r="C126" i="23"/>
  <c r="D125" i="23"/>
  <c r="C125" i="23"/>
  <c r="D124" i="23"/>
  <c r="C124" i="23"/>
  <c r="D123" i="23"/>
  <c r="C123" i="23"/>
  <c r="D122" i="23"/>
  <c r="C122" i="23"/>
  <c r="D121" i="23"/>
  <c r="C121" i="23"/>
  <c r="D117" i="23"/>
  <c r="C117" i="23"/>
  <c r="D116" i="23"/>
  <c r="C116" i="23"/>
  <c r="D115" i="23"/>
  <c r="C115" i="23"/>
  <c r="D114" i="23"/>
  <c r="C114" i="23"/>
  <c r="D113" i="23"/>
  <c r="C113" i="23"/>
  <c r="D109" i="23"/>
  <c r="C109" i="23"/>
  <c r="D108" i="23"/>
  <c r="C108" i="23"/>
  <c r="D107" i="23"/>
  <c r="C107" i="23"/>
  <c r="D106" i="23"/>
  <c r="C106" i="23"/>
  <c r="D105" i="23"/>
  <c r="C105" i="23"/>
  <c r="D104" i="23"/>
  <c r="C104" i="23"/>
  <c r="D100" i="23"/>
  <c r="C100" i="23"/>
  <c r="D99" i="23"/>
  <c r="C99" i="23"/>
  <c r="D98" i="23"/>
  <c r="C98" i="23"/>
  <c r="D97" i="23"/>
  <c r="C97" i="23"/>
  <c r="D96" i="23"/>
  <c r="C96" i="23"/>
  <c r="D95" i="23"/>
  <c r="C95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16" i="23"/>
  <c r="C16" i="23"/>
  <c r="D15" i="23"/>
  <c r="C15" i="23"/>
  <c r="D14" i="23"/>
  <c r="C14" i="23"/>
  <c r="D13" i="23"/>
  <c r="C13" i="23"/>
  <c r="D12" i="23"/>
  <c r="C12" i="23"/>
  <c r="C110" i="23" l="1"/>
  <c r="C139" i="23"/>
  <c r="C147" i="23"/>
  <c r="C181" i="23"/>
  <c r="C198" i="23"/>
  <c r="D118" i="23"/>
  <c r="D181" i="23"/>
  <c r="D92" i="23"/>
  <c r="C17" i="23"/>
  <c r="C77" i="23"/>
  <c r="D110" i="23"/>
  <c r="D139" i="23"/>
  <c r="D17" i="23"/>
  <c r="D77" i="23"/>
  <c r="D147" i="23"/>
  <c r="C101" i="23"/>
  <c r="D164" i="23"/>
  <c r="D101" i="23"/>
  <c r="C92" i="23"/>
  <c r="C164" i="23"/>
  <c r="C118" i="23"/>
  <c r="C57" i="23"/>
  <c r="D57" i="23"/>
  <c r="D183" i="23" l="1"/>
  <c r="D190" i="23" s="1"/>
  <c r="C183" i="23"/>
  <c r="C187" i="23" s="1"/>
  <c r="C190" i="23" l="1"/>
  <c r="C208" i="7"/>
  <c r="C207" i="7"/>
  <c r="C206" i="7"/>
  <c r="C205" i="7"/>
  <c r="C203" i="7"/>
  <c r="C202" i="7"/>
  <c r="C201" i="7"/>
  <c r="C197" i="7"/>
  <c r="C196" i="7"/>
  <c r="C195" i="7"/>
  <c r="C194" i="7"/>
  <c r="C186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6" i="7"/>
  <c r="C146" i="7"/>
  <c r="D145" i="7"/>
  <c r="C145" i="7"/>
  <c r="D144" i="7"/>
  <c r="C144" i="7"/>
  <c r="D143" i="7"/>
  <c r="C143" i="7"/>
  <c r="D142" i="7"/>
  <c r="C142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17" i="7"/>
  <c r="C117" i="7"/>
  <c r="D116" i="7"/>
  <c r="C116" i="7"/>
  <c r="D115" i="7"/>
  <c r="C115" i="7"/>
  <c r="D114" i="7"/>
  <c r="C114" i="7"/>
  <c r="D113" i="7"/>
  <c r="C113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0" i="7"/>
  <c r="C100" i="7"/>
  <c r="D99" i="7"/>
  <c r="C99" i="7"/>
  <c r="D98" i="7"/>
  <c r="C98" i="7"/>
  <c r="D97" i="7"/>
  <c r="C97" i="7"/>
  <c r="D96" i="7"/>
  <c r="C96" i="7"/>
  <c r="D95" i="7"/>
  <c r="C95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16" i="7"/>
  <c r="C16" i="7"/>
  <c r="D15" i="7"/>
  <c r="C15" i="7"/>
  <c r="D14" i="7"/>
  <c r="C14" i="7"/>
  <c r="D13" i="7"/>
  <c r="C13" i="7"/>
  <c r="D12" i="7"/>
  <c r="C12" i="7"/>
  <c r="C139" i="7" l="1"/>
  <c r="C164" i="7"/>
  <c r="C181" i="7"/>
  <c r="C17" i="7"/>
  <c r="C101" i="7"/>
  <c r="D110" i="7"/>
  <c r="D147" i="7"/>
  <c r="D57" i="7"/>
  <c r="D101" i="7"/>
  <c r="D17" i="7"/>
  <c r="D139" i="7"/>
  <c r="D164" i="7"/>
  <c r="D181" i="7"/>
  <c r="C57" i="7"/>
  <c r="C110" i="7"/>
  <c r="C147" i="7"/>
  <c r="C77" i="7"/>
  <c r="C92" i="7"/>
  <c r="D77" i="7"/>
  <c r="C118" i="7"/>
  <c r="D92" i="7"/>
  <c r="D118" i="7"/>
  <c r="C198" i="7"/>
  <c r="D183" i="7" l="1"/>
  <c r="D190" i="7" s="1"/>
  <c r="C183" i="7"/>
  <c r="C187" i="7" s="1"/>
  <c r="C208" i="36"/>
  <c r="C207" i="36"/>
  <c r="C206" i="36"/>
  <c r="C205" i="36"/>
  <c r="C203" i="36"/>
  <c r="C202" i="36"/>
  <c r="C201" i="36"/>
  <c r="C197" i="36"/>
  <c r="C196" i="36"/>
  <c r="C195" i="36"/>
  <c r="C194" i="36"/>
  <c r="C186" i="36"/>
  <c r="D180" i="36"/>
  <c r="C180" i="36"/>
  <c r="D179" i="36"/>
  <c r="C179" i="36"/>
  <c r="D178" i="36"/>
  <c r="C178" i="36"/>
  <c r="D177" i="36"/>
  <c r="C177" i="36"/>
  <c r="D176" i="36"/>
  <c r="C176" i="36"/>
  <c r="D175" i="36"/>
  <c r="C175" i="36"/>
  <c r="D174" i="36"/>
  <c r="C174" i="36"/>
  <c r="D173" i="36"/>
  <c r="C173" i="36"/>
  <c r="D172" i="36"/>
  <c r="C172" i="36"/>
  <c r="D171" i="36"/>
  <c r="C171" i="36"/>
  <c r="D170" i="36"/>
  <c r="C170" i="36"/>
  <c r="D169" i="36"/>
  <c r="C169" i="36"/>
  <c r="D168" i="36"/>
  <c r="C168" i="36"/>
  <c r="D167" i="36"/>
  <c r="C167" i="36"/>
  <c r="D163" i="36"/>
  <c r="C163" i="36"/>
  <c r="D162" i="36"/>
  <c r="C162" i="36"/>
  <c r="D161" i="36"/>
  <c r="C161" i="36"/>
  <c r="D160" i="36"/>
  <c r="C160" i="36"/>
  <c r="D159" i="36"/>
  <c r="C159" i="36"/>
  <c r="D158" i="36"/>
  <c r="C158" i="36"/>
  <c r="D157" i="36"/>
  <c r="C157" i="36"/>
  <c r="D156" i="36"/>
  <c r="C156" i="36"/>
  <c r="D155" i="36"/>
  <c r="C155" i="36"/>
  <c r="D154" i="36"/>
  <c r="C154" i="36"/>
  <c r="D153" i="36"/>
  <c r="C153" i="36"/>
  <c r="D152" i="36"/>
  <c r="C152" i="36"/>
  <c r="D151" i="36"/>
  <c r="C151" i="36"/>
  <c r="D150" i="36"/>
  <c r="C150" i="36"/>
  <c r="D146" i="36"/>
  <c r="C146" i="36"/>
  <c r="D145" i="36"/>
  <c r="C145" i="36"/>
  <c r="D144" i="36"/>
  <c r="C144" i="36"/>
  <c r="D143" i="36"/>
  <c r="C143" i="36"/>
  <c r="D142" i="36"/>
  <c r="C142" i="36"/>
  <c r="D138" i="36"/>
  <c r="C138" i="36"/>
  <c r="D137" i="36"/>
  <c r="C137" i="36"/>
  <c r="D136" i="36"/>
  <c r="C136" i="36"/>
  <c r="D135" i="36"/>
  <c r="C135" i="36"/>
  <c r="D134" i="36"/>
  <c r="C134" i="36"/>
  <c r="D133" i="36"/>
  <c r="C133" i="36"/>
  <c r="D131" i="36"/>
  <c r="C131" i="36"/>
  <c r="D130" i="36"/>
  <c r="C130" i="36"/>
  <c r="D129" i="36"/>
  <c r="C129" i="36"/>
  <c r="D128" i="36"/>
  <c r="C128" i="36"/>
  <c r="D127" i="36"/>
  <c r="C127" i="36"/>
  <c r="D126" i="36"/>
  <c r="C126" i="36"/>
  <c r="D125" i="36"/>
  <c r="C125" i="36"/>
  <c r="D124" i="36"/>
  <c r="C124" i="36"/>
  <c r="D123" i="36"/>
  <c r="C123" i="36"/>
  <c r="D122" i="36"/>
  <c r="C122" i="36"/>
  <c r="D121" i="36"/>
  <c r="C121" i="36"/>
  <c r="D117" i="36"/>
  <c r="C117" i="36"/>
  <c r="D116" i="36"/>
  <c r="C116" i="36"/>
  <c r="D115" i="36"/>
  <c r="C115" i="36"/>
  <c r="D114" i="36"/>
  <c r="C114" i="36"/>
  <c r="D113" i="36"/>
  <c r="C113" i="36"/>
  <c r="D109" i="36"/>
  <c r="C109" i="36"/>
  <c r="D108" i="36"/>
  <c r="C108" i="36"/>
  <c r="D107" i="36"/>
  <c r="C107" i="36"/>
  <c r="D106" i="36"/>
  <c r="C106" i="36"/>
  <c r="D105" i="36"/>
  <c r="C105" i="36"/>
  <c r="D104" i="36"/>
  <c r="C104" i="36"/>
  <c r="D100" i="36"/>
  <c r="C100" i="36"/>
  <c r="D99" i="36"/>
  <c r="C99" i="36"/>
  <c r="D98" i="36"/>
  <c r="C98" i="36"/>
  <c r="D97" i="36"/>
  <c r="C97" i="36"/>
  <c r="D96" i="36"/>
  <c r="C96" i="36"/>
  <c r="D95" i="36"/>
  <c r="C95" i="36"/>
  <c r="D91" i="36"/>
  <c r="C91" i="36"/>
  <c r="D90" i="36"/>
  <c r="C90" i="36"/>
  <c r="D89" i="36"/>
  <c r="C89" i="36"/>
  <c r="D88" i="36"/>
  <c r="C88" i="36"/>
  <c r="D87" i="36"/>
  <c r="C87" i="36"/>
  <c r="D86" i="36"/>
  <c r="C86" i="36"/>
  <c r="D85" i="36"/>
  <c r="C85" i="36"/>
  <c r="D84" i="36"/>
  <c r="C84" i="36"/>
  <c r="D83" i="36"/>
  <c r="C83" i="36"/>
  <c r="D82" i="36"/>
  <c r="C82" i="36"/>
  <c r="D81" i="36"/>
  <c r="C81" i="36"/>
  <c r="D80" i="36"/>
  <c r="C80" i="36"/>
  <c r="D76" i="36"/>
  <c r="C76" i="36"/>
  <c r="D75" i="36"/>
  <c r="C75" i="36"/>
  <c r="D74" i="36"/>
  <c r="C74" i="36"/>
  <c r="D73" i="36"/>
  <c r="C73" i="36"/>
  <c r="D72" i="36"/>
  <c r="C72" i="36"/>
  <c r="D71" i="36"/>
  <c r="C71" i="36"/>
  <c r="D70" i="36"/>
  <c r="C70" i="36"/>
  <c r="D69" i="36"/>
  <c r="C69" i="36"/>
  <c r="D68" i="36"/>
  <c r="C68" i="36"/>
  <c r="D67" i="36"/>
  <c r="C67" i="36"/>
  <c r="D66" i="36"/>
  <c r="C66" i="36"/>
  <c r="D65" i="36"/>
  <c r="C65" i="36"/>
  <c r="D64" i="36"/>
  <c r="C64" i="36"/>
  <c r="D63" i="36"/>
  <c r="C63" i="36"/>
  <c r="D62" i="36"/>
  <c r="C62" i="36"/>
  <c r="D61" i="36"/>
  <c r="C61" i="36"/>
  <c r="D60" i="36"/>
  <c r="C60" i="36"/>
  <c r="D56" i="36"/>
  <c r="C56" i="36"/>
  <c r="D55" i="36"/>
  <c r="C55" i="36"/>
  <c r="D54" i="36"/>
  <c r="C54" i="36"/>
  <c r="D53" i="36"/>
  <c r="C53" i="36"/>
  <c r="D52" i="36"/>
  <c r="C52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D43" i="36"/>
  <c r="C43" i="36"/>
  <c r="D42" i="36"/>
  <c r="C42" i="36"/>
  <c r="D41" i="36"/>
  <c r="C41" i="36"/>
  <c r="D40" i="36"/>
  <c r="C40" i="36"/>
  <c r="D39" i="36"/>
  <c r="C39" i="36"/>
  <c r="D38" i="36"/>
  <c r="C38" i="36"/>
  <c r="D37" i="36"/>
  <c r="C37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16" i="36"/>
  <c r="C16" i="36"/>
  <c r="D15" i="36"/>
  <c r="C15" i="36"/>
  <c r="D14" i="36"/>
  <c r="C14" i="36"/>
  <c r="D13" i="36"/>
  <c r="C13" i="36"/>
  <c r="D12" i="36"/>
  <c r="C12" i="36"/>
  <c r="C190" i="7" l="1"/>
  <c r="D139" i="36"/>
  <c r="C17" i="36"/>
  <c r="C139" i="36"/>
  <c r="C181" i="36"/>
  <c r="C77" i="36"/>
  <c r="D164" i="36"/>
  <c r="C92" i="36"/>
  <c r="C110" i="36"/>
  <c r="C118" i="36"/>
  <c r="C164" i="36"/>
  <c r="C198" i="36"/>
  <c r="D92" i="36"/>
  <c r="D101" i="36"/>
  <c r="D110" i="36"/>
  <c r="C147" i="36"/>
  <c r="D77" i="36"/>
  <c r="D147" i="36"/>
  <c r="C101" i="36"/>
  <c r="D17" i="36"/>
  <c r="D181" i="36"/>
  <c r="D118" i="36"/>
  <c r="C57" i="36"/>
  <c r="D57" i="36"/>
  <c r="C208" i="35"/>
  <c r="C207" i="35"/>
  <c r="C206" i="35"/>
  <c r="C205" i="35"/>
  <c r="C203" i="35"/>
  <c r="C202" i="35"/>
  <c r="C201" i="35"/>
  <c r="C197" i="35"/>
  <c r="C196" i="35"/>
  <c r="C195" i="35"/>
  <c r="C194" i="35"/>
  <c r="C186" i="35"/>
  <c r="D180" i="35"/>
  <c r="C180" i="35"/>
  <c r="D179" i="35"/>
  <c r="C179" i="35"/>
  <c r="D178" i="35"/>
  <c r="C178" i="35"/>
  <c r="D177" i="35"/>
  <c r="C177" i="35"/>
  <c r="D176" i="35"/>
  <c r="C176" i="35"/>
  <c r="D175" i="35"/>
  <c r="C175" i="35"/>
  <c r="D174" i="35"/>
  <c r="C174" i="35"/>
  <c r="D173" i="35"/>
  <c r="C173" i="35"/>
  <c r="D172" i="35"/>
  <c r="C172" i="35"/>
  <c r="D171" i="35"/>
  <c r="C171" i="35"/>
  <c r="D170" i="35"/>
  <c r="C170" i="35"/>
  <c r="D169" i="35"/>
  <c r="C169" i="35"/>
  <c r="D168" i="35"/>
  <c r="C168" i="35"/>
  <c r="D167" i="35"/>
  <c r="C167" i="35"/>
  <c r="D163" i="35"/>
  <c r="C163" i="35"/>
  <c r="D162" i="35"/>
  <c r="C162" i="35"/>
  <c r="D161" i="35"/>
  <c r="C161" i="35"/>
  <c r="D160" i="35"/>
  <c r="C160" i="35"/>
  <c r="D159" i="35"/>
  <c r="C159" i="35"/>
  <c r="D158" i="35"/>
  <c r="C158" i="35"/>
  <c r="D157" i="35"/>
  <c r="C157" i="35"/>
  <c r="D156" i="35"/>
  <c r="C156" i="35"/>
  <c r="D155" i="35"/>
  <c r="C155" i="35"/>
  <c r="D154" i="35"/>
  <c r="C154" i="35"/>
  <c r="D153" i="35"/>
  <c r="C153" i="35"/>
  <c r="D152" i="35"/>
  <c r="C152" i="35"/>
  <c r="D151" i="35"/>
  <c r="C151" i="35"/>
  <c r="D150" i="35"/>
  <c r="C150" i="35"/>
  <c r="D146" i="35"/>
  <c r="C146" i="35"/>
  <c r="D145" i="35"/>
  <c r="C145" i="35"/>
  <c r="D144" i="35"/>
  <c r="C144" i="35"/>
  <c r="D143" i="35"/>
  <c r="C143" i="35"/>
  <c r="D142" i="35"/>
  <c r="C142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1" i="35"/>
  <c r="C131" i="35"/>
  <c r="D130" i="35"/>
  <c r="C130" i="35"/>
  <c r="D129" i="35"/>
  <c r="C129" i="35"/>
  <c r="D128" i="35"/>
  <c r="C128" i="35"/>
  <c r="D127" i="35"/>
  <c r="C127" i="35"/>
  <c r="D126" i="35"/>
  <c r="C126" i="35"/>
  <c r="D125" i="35"/>
  <c r="C125" i="35"/>
  <c r="D124" i="35"/>
  <c r="C124" i="35"/>
  <c r="D123" i="35"/>
  <c r="C123" i="35"/>
  <c r="D122" i="35"/>
  <c r="C122" i="35"/>
  <c r="D121" i="35"/>
  <c r="C121" i="35"/>
  <c r="D117" i="35"/>
  <c r="C117" i="35"/>
  <c r="D116" i="35"/>
  <c r="C116" i="35"/>
  <c r="D115" i="35"/>
  <c r="C115" i="35"/>
  <c r="D114" i="35"/>
  <c r="C114" i="35"/>
  <c r="D113" i="35"/>
  <c r="C113" i="35"/>
  <c r="D109" i="35"/>
  <c r="C109" i="35"/>
  <c r="D108" i="35"/>
  <c r="C108" i="35"/>
  <c r="D107" i="35"/>
  <c r="C107" i="35"/>
  <c r="D106" i="35"/>
  <c r="C106" i="35"/>
  <c r="D105" i="35"/>
  <c r="C105" i="35"/>
  <c r="D104" i="35"/>
  <c r="C104" i="35"/>
  <c r="D100" i="35"/>
  <c r="C100" i="35"/>
  <c r="D99" i="35"/>
  <c r="C99" i="35"/>
  <c r="D98" i="35"/>
  <c r="C98" i="35"/>
  <c r="D97" i="35"/>
  <c r="C97" i="35"/>
  <c r="D96" i="35"/>
  <c r="C96" i="35"/>
  <c r="D95" i="35"/>
  <c r="C95" i="35"/>
  <c r="D91" i="35"/>
  <c r="C91" i="35"/>
  <c r="D90" i="35"/>
  <c r="C90" i="35"/>
  <c r="D89" i="35"/>
  <c r="C89" i="35"/>
  <c r="D88" i="35"/>
  <c r="C88" i="35"/>
  <c r="D87" i="35"/>
  <c r="C87" i="35"/>
  <c r="D86" i="35"/>
  <c r="C86" i="35"/>
  <c r="D85" i="35"/>
  <c r="C85" i="35"/>
  <c r="D84" i="35"/>
  <c r="C84" i="35"/>
  <c r="D83" i="35"/>
  <c r="C83" i="35"/>
  <c r="D82" i="35"/>
  <c r="C82" i="35"/>
  <c r="D81" i="35"/>
  <c r="C81" i="35"/>
  <c r="D80" i="35"/>
  <c r="C80" i="35"/>
  <c r="D76" i="35"/>
  <c r="C76" i="35"/>
  <c r="D75" i="35"/>
  <c r="C75" i="35"/>
  <c r="D74" i="35"/>
  <c r="C74" i="35"/>
  <c r="D73" i="35"/>
  <c r="C73" i="35"/>
  <c r="D72" i="35"/>
  <c r="C72" i="35"/>
  <c r="D71" i="35"/>
  <c r="C71" i="35"/>
  <c r="D70" i="35"/>
  <c r="C70" i="35"/>
  <c r="D69" i="35"/>
  <c r="C69" i="35"/>
  <c r="D68" i="35"/>
  <c r="C68" i="35"/>
  <c r="D67" i="35"/>
  <c r="C67" i="35"/>
  <c r="D66" i="35"/>
  <c r="C66" i="35"/>
  <c r="D65" i="35"/>
  <c r="C65" i="35"/>
  <c r="D64" i="35"/>
  <c r="C64" i="35"/>
  <c r="D63" i="35"/>
  <c r="C63" i="35"/>
  <c r="D62" i="35"/>
  <c r="C62" i="35"/>
  <c r="D61" i="35"/>
  <c r="C61" i="35"/>
  <c r="D60" i="35"/>
  <c r="C60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16" i="35"/>
  <c r="C16" i="35"/>
  <c r="D15" i="35"/>
  <c r="C15" i="35"/>
  <c r="D14" i="35"/>
  <c r="C14" i="35"/>
  <c r="D13" i="35"/>
  <c r="C13" i="35"/>
  <c r="D12" i="35"/>
  <c r="C12" i="35"/>
  <c r="C198" i="35" l="1"/>
  <c r="C183" i="36"/>
  <c r="C187" i="36" s="1"/>
  <c r="D77" i="35"/>
  <c r="D110" i="35"/>
  <c r="D164" i="35"/>
  <c r="D183" i="36"/>
  <c r="D190" i="36" s="1"/>
  <c r="C57" i="35"/>
  <c r="C77" i="35"/>
  <c r="C181" i="35"/>
  <c r="C101" i="35"/>
  <c r="D139" i="35"/>
  <c r="C17" i="35"/>
  <c r="C139" i="35"/>
  <c r="C147" i="35"/>
  <c r="D17" i="35"/>
  <c r="D147" i="35"/>
  <c r="D181" i="35"/>
  <c r="C92" i="35"/>
  <c r="C110" i="35"/>
  <c r="C118" i="35"/>
  <c r="C164" i="35"/>
  <c r="D92" i="35"/>
  <c r="D101" i="35"/>
  <c r="D118" i="35"/>
  <c r="D57" i="35"/>
  <c r="C190" i="36" l="1"/>
  <c r="C183" i="35"/>
  <c r="C187" i="35" s="1"/>
  <c r="D183" i="35"/>
  <c r="D190" i="35" s="1"/>
  <c r="C190" i="35" l="1"/>
  <c r="C208" i="27"/>
  <c r="C207" i="27"/>
  <c r="C206" i="27"/>
  <c r="C205" i="27"/>
  <c r="C203" i="27"/>
  <c r="C202" i="27"/>
  <c r="C201" i="27"/>
  <c r="C197" i="27"/>
  <c r="C196" i="27"/>
  <c r="C195" i="27"/>
  <c r="C194" i="27"/>
  <c r="C186" i="27"/>
  <c r="D180" i="27"/>
  <c r="C180" i="27"/>
  <c r="D179" i="27"/>
  <c r="C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D172" i="27"/>
  <c r="C172" i="27"/>
  <c r="D171" i="27"/>
  <c r="C171" i="27"/>
  <c r="D170" i="27"/>
  <c r="C170" i="27"/>
  <c r="D169" i="27"/>
  <c r="C169" i="27"/>
  <c r="D168" i="27"/>
  <c r="C168" i="27"/>
  <c r="D167" i="27"/>
  <c r="C167" i="27"/>
  <c r="D163" i="27"/>
  <c r="C163" i="27"/>
  <c r="D162" i="27"/>
  <c r="C162" i="27"/>
  <c r="D161" i="27"/>
  <c r="C161" i="27"/>
  <c r="D160" i="27"/>
  <c r="C160" i="27"/>
  <c r="D159" i="27"/>
  <c r="C159" i="27"/>
  <c r="D158" i="27"/>
  <c r="C158" i="27"/>
  <c r="D157" i="27"/>
  <c r="C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D150" i="27"/>
  <c r="C150" i="27"/>
  <c r="D146" i="27"/>
  <c r="C146" i="27"/>
  <c r="D145" i="27"/>
  <c r="C145" i="27"/>
  <c r="D144" i="27"/>
  <c r="C144" i="27"/>
  <c r="D143" i="27"/>
  <c r="C143" i="27"/>
  <c r="D142" i="27"/>
  <c r="C142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1" i="27"/>
  <c r="C131" i="27"/>
  <c r="D130" i="27"/>
  <c r="C130" i="27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D117" i="27"/>
  <c r="C117" i="27"/>
  <c r="D116" i="27"/>
  <c r="C116" i="27"/>
  <c r="D115" i="27"/>
  <c r="C115" i="27"/>
  <c r="D114" i="27"/>
  <c r="C114" i="27"/>
  <c r="D113" i="27"/>
  <c r="C113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0" i="27"/>
  <c r="C100" i="27"/>
  <c r="D99" i="27"/>
  <c r="C99" i="27"/>
  <c r="D98" i="27"/>
  <c r="C98" i="27"/>
  <c r="D97" i="27"/>
  <c r="C97" i="27"/>
  <c r="D96" i="27"/>
  <c r="C96" i="27"/>
  <c r="D95" i="27"/>
  <c r="C95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16" i="27"/>
  <c r="C16" i="27"/>
  <c r="D15" i="27"/>
  <c r="C15" i="27"/>
  <c r="D14" i="27"/>
  <c r="C14" i="27"/>
  <c r="D13" i="27"/>
  <c r="C13" i="27"/>
  <c r="D12" i="27"/>
  <c r="C12" i="27"/>
  <c r="C101" i="27" l="1"/>
  <c r="D139" i="27"/>
  <c r="C17" i="27"/>
  <c r="C139" i="27"/>
  <c r="C147" i="27"/>
  <c r="D17" i="27"/>
  <c r="D147" i="27"/>
  <c r="D181" i="27"/>
  <c r="C57" i="27"/>
  <c r="C77" i="27"/>
  <c r="C181" i="27"/>
  <c r="D77" i="27"/>
  <c r="D164" i="27"/>
  <c r="C92" i="27"/>
  <c r="C110" i="27"/>
  <c r="C118" i="27"/>
  <c r="C164" i="27"/>
  <c r="D110" i="27"/>
  <c r="C198" i="27"/>
  <c r="D92" i="27"/>
  <c r="D101" i="27"/>
  <c r="D118" i="27"/>
  <c r="D57" i="27"/>
  <c r="C183" i="27" l="1"/>
  <c r="C187" i="27" s="1"/>
  <c r="D183" i="27"/>
  <c r="D190" i="27" s="1"/>
  <c r="C190" i="27" l="1"/>
  <c r="C208" i="6"/>
  <c r="C207" i="6"/>
  <c r="C206" i="6"/>
  <c r="C205" i="6"/>
  <c r="C203" i="6"/>
  <c r="C202" i="6"/>
  <c r="C201" i="6"/>
  <c r="C197" i="6"/>
  <c r="C196" i="6"/>
  <c r="C195" i="6"/>
  <c r="C194" i="6"/>
  <c r="C186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6" i="6"/>
  <c r="C146" i="6"/>
  <c r="D145" i="6"/>
  <c r="C145" i="6"/>
  <c r="D144" i="6"/>
  <c r="C144" i="6"/>
  <c r="D143" i="6"/>
  <c r="C143" i="6"/>
  <c r="D142" i="6"/>
  <c r="C142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17" i="6"/>
  <c r="C117" i="6"/>
  <c r="D116" i="6"/>
  <c r="C116" i="6"/>
  <c r="D115" i="6"/>
  <c r="C115" i="6"/>
  <c r="D114" i="6"/>
  <c r="C114" i="6"/>
  <c r="D113" i="6"/>
  <c r="C113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0" i="6"/>
  <c r="C100" i="6"/>
  <c r="D99" i="6"/>
  <c r="C99" i="6"/>
  <c r="D98" i="6"/>
  <c r="C98" i="6"/>
  <c r="D97" i="6"/>
  <c r="C97" i="6"/>
  <c r="D96" i="6"/>
  <c r="C96" i="6"/>
  <c r="D95" i="6"/>
  <c r="C95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16" i="6"/>
  <c r="C16" i="6"/>
  <c r="D15" i="6"/>
  <c r="C15" i="6"/>
  <c r="D14" i="6"/>
  <c r="C14" i="6"/>
  <c r="D13" i="6"/>
  <c r="C13" i="6"/>
  <c r="D12" i="6"/>
  <c r="C12" i="6"/>
  <c r="C57" i="6" l="1"/>
  <c r="D57" i="6"/>
  <c r="D77" i="6"/>
  <c r="D164" i="6"/>
  <c r="D181" i="6"/>
  <c r="C198" i="6"/>
  <c r="C164" i="6"/>
  <c r="C181" i="6"/>
  <c r="C17" i="6"/>
  <c r="C110" i="6"/>
  <c r="C147" i="6"/>
  <c r="C139" i="6"/>
  <c r="D17" i="6"/>
  <c r="D139" i="6"/>
  <c r="D147" i="6"/>
  <c r="C77" i="6"/>
  <c r="C92" i="6"/>
  <c r="C101" i="6"/>
  <c r="C118" i="6"/>
  <c r="D92" i="6"/>
  <c r="D101" i="6"/>
  <c r="D110" i="6"/>
  <c r="D118" i="6"/>
  <c r="D183" i="6" l="1"/>
  <c r="D190" i="6" s="1"/>
  <c r="C183" i="6"/>
  <c r="C187" i="6" s="1"/>
  <c r="C190" i="6" l="1"/>
  <c r="K150" i="22"/>
  <c r="J150" i="22"/>
  <c r="K123" i="22"/>
  <c r="K121" i="22"/>
  <c r="J123" i="22"/>
  <c r="J121" i="22"/>
  <c r="K104" i="22"/>
  <c r="J104" i="22"/>
  <c r="K95" i="22"/>
  <c r="J95" i="22"/>
  <c r="K80" i="22"/>
  <c r="J80" i="22"/>
  <c r="K23" i="22"/>
  <c r="J23" i="22"/>
  <c r="K21" i="22"/>
  <c r="J21" i="22"/>
  <c r="C203" i="22" l="1"/>
  <c r="C208" i="22" l="1"/>
  <c r="C207" i="22"/>
  <c r="C206" i="22"/>
  <c r="C205" i="22"/>
  <c r="C202" i="22"/>
  <c r="C201" i="22"/>
  <c r="C197" i="22"/>
  <c r="C196" i="22"/>
  <c r="C195" i="22"/>
  <c r="C194" i="22"/>
  <c r="C186" i="22"/>
  <c r="D180" i="22"/>
  <c r="C180" i="22"/>
  <c r="D179" i="22"/>
  <c r="C179" i="22"/>
  <c r="D178" i="22"/>
  <c r="C178" i="22"/>
  <c r="D177" i="22"/>
  <c r="C177" i="22"/>
  <c r="D176" i="22"/>
  <c r="C176" i="22"/>
  <c r="D175" i="22"/>
  <c r="C175" i="22"/>
  <c r="D174" i="22"/>
  <c r="C174" i="22"/>
  <c r="D173" i="22"/>
  <c r="C173" i="22"/>
  <c r="D172" i="22"/>
  <c r="C172" i="22"/>
  <c r="D171" i="22"/>
  <c r="C171" i="22"/>
  <c r="D170" i="22"/>
  <c r="C170" i="22"/>
  <c r="D169" i="22"/>
  <c r="C169" i="22"/>
  <c r="D168" i="22"/>
  <c r="C168" i="22"/>
  <c r="D167" i="22"/>
  <c r="C167" i="22"/>
  <c r="D163" i="22"/>
  <c r="C163" i="22"/>
  <c r="D162" i="22"/>
  <c r="C162" i="22"/>
  <c r="D161" i="22"/>
  <c r="C161" i="22"/>
  <c r="D160" i="22"/>
  <c r="C160" i="22"/>
  <c r="D159" i="22"/>
  <c r="C159" i="22"/>
  <c r="D158" i="22"/>
  <c r="C158" i="22"/>
  <c r="D157" i="22"/>
  <c r="C157" i="22"/>
  <c r="D156" i="22"/>
  <c r="C156" i="22"/>
  <c r="D155" i="22"/>
  <c r="C155" i="22"/>
  <c r="D154" i="22"/>
  <c r="C154" i="22"/>
  <c r="D153" i="22"/>
  <c r="C153" i="22"/>
  <c r="D152" i="22"/>
  <c r="C152" i="22"/>
  <c r="D151" i="22"/>
  <c r="C151" i="22"/>
  <c r="D150" i="22"/>
  <c r="C150" i="22"/>
  <c r="D146" i="22"/>
  <c r="C146" i="22"/>
  <c r="D145" i="22"/>
  <c r="C145" i="22"/>
  <c r="D144" i="22"/>
  <c r="C144" i="22"/>
  <c r="D143" i="22"/>
  <c r="C143" i="22"/>
  <c r="D142" i="22"/>
  <c r="C142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1" i="22"/>
  <c r="C131" i="22"/>
  <c r="D130" i="22"/>
  <c r="C130" i="22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17" i="22"/>
  <c r="C117" i="22"/>
  <c r="D116" i="22"/>
  <c r="C116" i="22"/>
  <c r="D115" i="22"/>
  <c r="C115" i="22"/>
  <c r="D114" i="22"/>
  <c r="C114" i="22"/>
  <c r="D113" i="22"/>
  <c r="C113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D100" i="22"/>
  <c r="C100" i="22"/>
  <c r="D99" i="22"/>
  <c r="C99" i="22"/>
  <c r="D98" i="22"/>
  <c r="C98" i="22"/>
  <c r="D97" i="22"/>
  <c r="C97" i="22"/>
  <c r="D96" i="22"/>
  <c r="C96" i="22"/>
  <c r="D95" i="22"/>
  <c r="C95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16" i="22"/>
  <c r="C16" i="22"/>
  <c r="D15" i="22"/>
  <c r="C15" i="22"/>
  <c r="D14" i="22"/>
  <c r="C14" i="22"/>
  <c r="D13" i="22"/>
  <c r="C13" i="22"/>
  <c r="D12" i="22"/>
  <c r="C12" i="22"/>
  <c r="C17" i="22" l="1"/>
  <c r="D147" i="22"/>
  <c r="C77" i="22"/>
  <c r="C118" i="22"/>
  <c r="C198" i="22"/>
  <c r="D118" i="22"/>
  <c r="D181" i="22"/>
  <c r="C147" i="22"/>
  <c r="D17" i="22"/>
  <c r="D77" i="22"/>
  <c r="C92" i="22"/>
  <c r="C101" i="22"/>
  <c r="D92" i="22"/>
  <c r="D101" i="22"/>
  <c r="C110" i="22"/>
  <c r="C139" i="22"/>
  <c r="C181" i="22"/>
  <c r="C164" i="22"/>
  <c r="D164" i="22"/>
  <c r="D110" i="22"/>
  <c r="D139" i="22"/>
  <c r="C57" i="22"/>
  <c r="D57" i="22"/>
  <c r="D183" i="22" l="1"/>
  <c r="D190" i="22" s="1"/>
  <c r="C183" i="22"/>
  <c r="C187" i="22" s="1"/>
  <c r="C190" i="22" l="1"/>
  <c r="C208" i="5"/>
  <c r="C207" i="5"/>
  <c r="C206" i="5"/>
  <c r="C205" i="5"/>
  <c r="C203" i="5"/>
  <c r="G203" i="5" s="1"/>
  <c r="C202" i="5"/>
  <c r="C201" i="5"/>
  <c r="C197" i="5"/>
  <c r="C196" i="5"/>
  <c r="C195" i="5"/>
  <c r="C194" i="5"/>
  <c r="C186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6" i="5"/>
  <c r="C146" i="5"/>
  <c r="D145" i="5"/>
  <c r="C145" i="5"/>
  <c r="D144" i="5"/>
  <c r="C144" i="5"/>
  <c r="D143" i="5"/>
  <c r="C143" i="5"/>
  <c r="D142" i="5"/>
  <c r="C142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17" i="5"/>
  <c r="C117" i="5"/>
  <c r="D116" i="5"/>
  <c r="C116" i="5"/>
  <c r="D115" i="5"/>
  <c r="C115" i="5"/>
  <c r="D114" i="5"/>
  <c r="C114" i="5"/>
  <c r="D113" i="5"/>
  <c r="C113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0" i="5"/>
  <c r="C100" i="5"/>
  <c r="D99" i="5"/>
  <c r="C99" i="5"/>
  <c r="D98" i="5"/>
  <c r="C98" i="5"/>
  <c r="D97" i="5"/>
  <c r="C97" i="5"/>
  <c r="D96" i="5"/>
  <c r="C96" i="5"/>
  <c r="D95" i="5"/>
  <c r="C95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16" i="5"/>
  <c r="C16" i="5"/>
  <c r="D15" i="5"/>
  <c r="C15" i="5"/>
  <c r="D14" i="5"/>
  <c r="C14" i="5"/>
  <c r="D13" i="5"/>
  <c r="C13" i="5"/>
  <c r="D12" i="5"/>
  <c r="C12" i="5"/>
  <c r="C17" i="5" l="1"/>
  <c r="C139" i="5"/>
  <c r="D181" i="5"/>
  <c r="C147" i="5"/>
  <c r="D17" i="5"/>
  <c r="D110" i="5"/>
  <c r="D57" i="5"/>
  <c r="C181" i="5"/>
  <c r="D147" i="5"/>
  <c r="D77" i="5"/>
  <c r="C110" i="5"/>
  <c r="D92" i="5"/>
  <c r="C118" i="5"/>
  <c r="C164" i="5"/>
  <c r="C198" i="5"/>
  <c r="D139" i="5"/>
  <c r="C92" i="5"/>
  <c r="C101" i="5"/>
  <c r="D118" i="5"/>
  <c r="D164" i="5"/>
  <c r="C57" i="5"/>
  <c r="C77" i="5"/>
  <c r="D101" i="5"/>
  <c r="D183" i="5" l="1"/>
  <c r="D190" i="5" s="1"/>
  <c r="C183" i="5"/>
  <c r="C187" i="5" s="1"/>
  <c r="K150" i="20"/>
  <c r="J150" i="20"/>
  <c r="K123" i="20"/>
  <c r="J123" i="20"/>
  <c r="K121" i="20"/>
  <c r="J121" i="20"/>
  <c r="K104" i="20"/>
  <c r="J104" i="20"/>
  <c r="K95" i="20"/>
  <c r="J95" i="20"/>
  <c r="K80" i="20"/>
  <c r="J80" i="20"/>
  <c r="K23" i="20"/>
  <c r="K21" i="20"/>
  <c r="J23" i="20"/>
  <c r="J21" i="20"/>
  <c r="C190" i="5" l="1"/>
  <c r="K150" i="19" l="1"/>
  <c r="J150" i="19"/>
  <c r="K121" i="19"/>
  <c r="J121" i="19"/>
  <c r="K104" i="19"/>
  <c r="J104" i="19"/>
  <c r="K95" i="19"/>
  <c r="J95" i="19"/>
  <c r="K80" i="19"/>
  <c r="J80" i="19"/>
  <c r="J23" i="19"/>
  <c r="K23" i="19"/>
  <c r="K21" i="19"/>
  <c r="J21" i="19"/>
  <c r="K150" i="21" l="1"/>
  <c r="J150" i="21"/>
  <c r="K123" i="21"/>
  <c r="K121" i="21"/>
  <c r="J123" i="21"/>
  <c r="J121" i="21"/>
  <c r="K104" i="21"/>
  <c r="J104" i="21"/>
  <c r="K95" i="21"/>
  <c r="J95" i="21"/>
  <c r="K80" i="21"/>
  <c r="J80" i="21"/>
  <c r="K23" i="21"/>
  <c r="K21" i="21"/>
  <c r="J23" i="21"/>
  <c r="J21" i="21"/>
  <c r="C203" i="21"/>
  <c r="C208" i="21" l="1"/>
  <c r="C207" i="21"/>
  <c r="C206" i="21"/>
  <c r="C205" i="21"/>
  <c r="C202" i="21"/>
  <c r="C201" i="21"/>
  <c r="C197" i="21"/>
  <c r="C196" i="21"/>
  <c r="C195" i="21"/>
  <c r="C194" i="21"/>
  <c r="C186" i="21"/>
  <c r="D180" i="21"/>
  <c r="C180" i="21"/>
  <c r="D179" i="21"/>
  <c r="C179" i="21"/>
  <c r="D178" i="21"/>
  <c r="C178" i="21"/>
  <c r="D177" i="21"/>
  <c r="C177" i="21"/>
  <c r="D176" i="21"/>
  <c r="C176" i="21"/>
  <c r="D175" i="21"/>
  <c r="C175" i="21"/>
  <c r="D174" i="21"/>
  <c r="C174" i="21"/>
  <c r="D173" i="21"/>
  <c r="C173" i="21"/>
  <c r="D172" i="21"/>
  <c r="C172" i="21"/>
  <c r="D171" i="21"/>
  <c r="C171" i="21"/>
  <c r="D170" i="21"/>
  <c r="C170" i="21"/>
  <c r="D169" i="21"/>
  <c r="C169" i="21"/>
  <c r="D168" i="21"/>
  <c r="C168" i="21"/>
  <c r="D167" i="21"/>
  <c r="C167" i="21"/>
  <c r="D163" i="21"/>
  <c r="C163" i="21"/>
  <c r="D162" i="21"/>
  <c r="C162" i="21"/>
  <c r="D161" i="21"/>
  <c r="C161" i="21"/>
  <c r="D160" i="21"/>
  <c r="C160" i="21"/>
  <c r="D159" i="21"/>
  <c r="C159" i="21"/>
  <c r="D158" i="21"/>
  <c r="C158" i="21"/>
  <c r="D157" i="21"/>
  <c r="C157" i="21"/>
  <c r="D156" i="21"/>
  <c r="C156" i="21"/>
  <c r="D155" i="21"/>
  <c r="C155" i="21"/>
  <c r="D154" i="21"/>
  <c r="C154" i="21"/>
  <c r="D153" i="21"/>
  <c r="C153" i="21"/>
  <c r="D152" i="21"/>
  <c r="C152" i="21"/>
  <c r="D151" i="21"/>
  <c r="C151" i="21"/>
  <c r="D150" i="21"/>
  <c r="C150" i="21"/>
  <c r="D146" i="21"/>
  <c r="C146" i="21"/>
  <c r="D145" i="21"/>
  <c r="C145" i="21"/>
  <c r="D144" i="21"/>
  <c r="C144" i="21"/>
  <c r="D143" i="21"/>
  <c r="C143" i="21"/>
  <c r="D142" i="21"/>
  <c r="C142" i="21"/>
  <c r="D138" i="21"/>
  <c r="C138" i="21"/>
  <c r="D137" i="21"/>
  <c r="C137" i="21"/>
  <c r="D136" i="21"/>
  <c r="C136" i="21"/>
  <c r="D135" i="21"/>
  <c r="C135" i="21"/>
  <c r="D134" i="21"/>
  <c r="C134" i="21"/>
  <c r="D133" i="21"/>
  <c r="C133" i="21"/>
  <c r="D131" i="21"/>
  <c r="C131" i="21"/>
  <c r="D130" i="21"/>
  <c r="C130" i="21"/>
  <c r="D129" i="21"/>
  <c r="C129" i="21"/>
  <c r="D128" i="21"/>
  <c r="C128" i="21"/>
  <c r="D127" i="21"/>
  <c r="C127" i="21"/>
  <c r="D126" i="21"/>
  <c r="C126" i="21"/>
  <c r="D125" i="21"/>
  <c r="C125" i="21"/>
  <c r="D124" i="21"/>
  <c r="C124" i="21"/>
  <c r="D123" i="21"/>
  <c r="C123" i="21"/>
  <c r="D122" i="21"/>
  <c r="C122" i="21"/>
  <c r="D121" i="21"/>
  <c r="C121" i="21"/>
  <c r="D117" i="21"/>
  <c r="C117" i="21"/>
  <c r="D116" i="21"/>
  <c r="C116" i="21"/>
  <c r="D115" i="21"/>
  <c r="C115" i="21"/>
  <c r="D114" i="21"/>
  <c r="C114" i="21"/>
  <c r="D113" i="21"/>
  <c r="C113" i="21"/>
  <c r="D109" i="21"/>
  <c r="C109" i="21"/>
  <c r="D108" i="21"/>
  <c r="C108" i="21"/>
  <c r="D107" i="21"/>
  <c r="C107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D97" i="21"/>
  <c r="C97" i="21"/>
  <c r="D96" i="21"/>
  <c r="C96" i="21"/>
  <c r="D95" i="21"/>
  <c r="C95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16" i="21"/>
  <c r="C16" i="21"/>
  <c r="D15" i="21"/>
  <c r="C15" i="21"/>
  <c r="D14" i="21"/>
  <c r="C14" i="21"/>
  <c r="D13" i="21"/>
  <c r="C13" i="21"/>
  <c r="D12" i="21"/>
  <c r="C12" i="21"/>
  <c r="D118" i="21" l="1"/>
  <c r="C118" i="21"/>
  <c r="D92" i="21"/>
  <c r="C139" i="21"/>
  <c r="D147" i="21"/>
  <c r="C198" i="21"/>
  <c r="D17" i="21"/>
  <c r="D77" i="21"/>
  <c r="C92" i="21"/>
  <c r="C147" i="21"/>
  <c r="C101" i="21"/>
  <c r="C164" i="21"/>
  <c r="D101" i="21"/>
  <c r="D164" i="21"/>
  <c r="C110" i="21"/>
  <c r="D139" i="21"/>
  <c r="C181" i="21"/>
  <c r="C17" i="21"/>
  <c r="C77" i="21"/>
  <c r="D110" i="21"/>
  <c r="D181" i="21"/>
  <c r="C57" i="21"/>
  <c r="D57" i="21"/>
  <c r="D183" i="21" l="1"/>
  <c r="D190" i="21" s="1"/>
  <c r="C183" i="21"/>
  <c r="C187" i="21" s="1"/>
  <c r="C190" i="21" l="1"/>
  <c r="F181" i="24" l="1"/>
  <c r="F164" i="24"/>
  <c r="F147" i="24"/>
  <c r="F139" i="24"/>
  <c r="F118" i="24"/>
  <c r="F110" i="24"/>
  <c r="F101" i="24"/>
  <c r="F92" i="24"/>
  <c r="F77" i="24"/>
  <c r="F57" i="24"/>
  <c r="E180" i="7" l="1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6" i="7"/>
  <c r="E145" i="7"/>
  <c r="E144" i="7"/>
  <c r="E143" i="7"/>
  <c r="E142" i="7"/>
  <c r="E138" i="7"/>
  <c r="E137" i="7"/>
  <c r="E136" i="7"/>
  <c r="E135" i="7"/>
  <c r="E134" i="7"/>
  <c r="E133" i="7"/>
  <c r="E131" i="7"/>
  <c r="E130" i="7"/>
  <c r="E129" i="7"/>
  <c r="E128" i="7"/>
  <c r="E127" i="7"/>
  <c r="E126" i="7"/>
  <c r="E125" i="7"/>
  <c r="E124" i="7"/>
  <c r="E123" i="7"/>
  <c r="E122" i="7"/>
  <c r="E121" i="7"/>
  <c r="E117" i="7"/>
  <c r="E116" i="7"/>
  <c r="E115" i="7"/>
  <c r="E114" i="7"/>
  <c r="E113" i="7"/>
  <c r="E109" i="7"/>
  <c r="E108" i="7"/>
  <c r="E107" i="7"/>
  <c r="E106" i="7"/>
  <c r="E105" i="7"/>
  <c r="E104" i="7"/>
  <c r="E100" i="7"/>
  <c r="E99" i="7"/>
  <c r="E98" i="7"/>
  <c r="E97" i="7"/>
  <c r="E96" i="7"/>
  <c r="E95" i="7"/>
  <c r="E91" i="7"/>
  <c r="E90" i="7"/>
  <c r="E89" i="7"/>
  <c r="E88" i="7"/>
  <c r="E87" i="7"/>
  <c r="E86" i="7"/>
  <c r="E85" i="7"/>
  <c r="E84" i="7"/>
  <c r="E83" i="7"/>
  <c r="E82" i="7"/>
  <c r="E81" i="7"/>
  <c r="E80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6" i="36"/>
  <c r="E145" i="36"/>
  <c r="E144" i="36"/>
  <c r="E143" i="36"/>
  <c r="E142" i="36"/>
  <c r="E138" i="36"/>
  <c r="E137" i="36"/>
  <c r="E136" i="36"/>
  <c r="E135" i="36"/>
  <c r="E134" i="36"/>
  <c r="E133" i="36"/>
  <c r="E131" i="36"/>
  <c r="E130" i="36"/>
  <c r="E129" i="36"/>
  <c r="E128" i="36"/>
  <c r="E127" i="36"/>
  <c r="E126" i="36"/>
  <c r="E125" i="36"/>
  <c r="E124" i="36"/>
  <c r="E123" i="36"/>
  <c r="E122" i="36"/>
  <c r="E121" i="36"/>
  <c r="E117" i="36"/>
  <c r="E116" i="36"/>
  <c r="E115" i="36"/>
  <c r="E114" i="36"/>
  <c r="E113" i="36"/>
  <c r="E109" i="36"/>
  <c r="E108" i="36"/>
  <c r="E107" i="36"/>
  <c r="E106" i="36"/>
  <c r="E105" i="36"/>
  <c r="E104" i="36"/>
  <c r="E100" i="36"/>
  <c r="E99" i="36"/>
  <c r="E98" i="36"/>
  <c r="E97" i="36"/>
  <c r="E96" i="36"/>
  <c r="E95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16" i="36"/>
  <c r="E15" i="36"/>
  <c r="E14" i="36"/>
  <c r="E13" i="36"/>
  <c r="E12" i="36"/>
  <c r="E118" i="7" l="1"/>
  <c r="E17" i="7"/>
  <c r="E147" i="7"/>
  <c r="E77" i="7"/>
  <c r="E101" i="7"/>
  <c r="E101" i="36"/>
  <c r="E147" i="36"/>
  <c r="E17" i="36"/>
  <c r="E139" i="36"/>
  <c r="E181" i="36"/>
  <c r="E77" i="36"/>
  <c r="E164" i="36"/>
  <c r="E92" i="36"/>
  <c r="E57" i="36"/>
  <c r="E110" i="36"/>
  <c r="E118" i="36"/>
  <c r="E164" i="7"/>
  <c r="E110" i="7"/>
  <c r="E139" i="7"/>
  <c r="E92" i="7"/>
  <c r="E57" i="7"/>
  <c r="E181" i="7"/>
  <c r="E202" i="36"/>
  <c r="E201" i="36"/>
  <c r="F198" i="36"/>
  <c r="E197" i="36"/>
  <c r="G197" i="36" s="1"/>
  <c r="E196" i="36"/>
  <c r="G196" i="36" s="1"/>
  <c r="E195" i="36"/>
  <c r="G195" i="36" s="1"/>
  <c r="E194" i="36"/>
  <c r="K183" i="36"/>
  <c r="J183" i="36"/>
  <c r="F181" i="36"/>
  <c r="G180" i="36"/>
  <c r="G179" i="36"/>
  <c r="G178" i="36"/>
  <c r="G177" i="36"/>
  <c r="G175" i="36"/>
  <c r="G173" i="36"/>
  <c r="G172" i="36"/>
  <c r="G171" i="36"/>
  <c r="G169" i="36"/>
  <c r="G168" i="36"/>
  <c r="F164" i="36"/>
  <c r="G163" i="36"/>
  <c r="G162" i="36"/>
  <c r="G161" i="36"/>
  <c r="G160" i="36"/>
  <c r="G159" i="36"/>
  <c r="G158" i="36"/>
  <c r="G156" i="36"/>
  <c r="G155" i="36"/>
  <c r="G154" i="36"/>
  <c r="G153" i="36"/>
  <c r="G152" i="36"/>
  <c r="G150" i="36"/>
  <c r="F147" i="36"/>
  <c r="G146" i="36"/>
  <c r="G145" i="36"/>
  <c r="G143" i="36"/>
  <c r="G142" i="36"/>
  <c r="F139" i="36"/>
  <c r="G138" i="36"/>
  <c r="G137" i="36"/>
  <c r="G136" i="36"/>
  <c r="G134" i="36"/>
  <c r="G133" i="36"/>
  <c r="G131" i="36"/>
  <c r="G129" i="36"/>
  <c r="G128" i="36"/>
  <c r="G127" i="36"/>
  <c r="G126" i="36"/>
  <c r="G125" i="36"/>
  <c r="G123" i="36"/>
  <c r="F118" i="36"/>
  <c r="G117" i="36"/>
  <c r="G116" i="36"/>
  <c r="G115" i="36"/>
  <c r="G114" i="36"/>
  <c r="G113" i="36"/>
  <c r="F110" i="36"/>
  <c r="G109" i="36"/>
  <c r="G108" i="36"/>
  <c r="G107" i="36"/>
  <c r="G106" i="36"/>
  <c r="G105" i="36"/>
  <c r="F101" i="36"/>
  <c r="G100" i="36"/>
  <c r="G98" i="36"/>
  <c r="G97" i="36"/>
  <c r="G96" i="36"/>
  <c r="F92" i="36"/>
  <c r="G91" i="36"/>
  <c r="G90" i="36"/>
  <c r="G88" i="36"/>
  <c r="G87" i="36"/>
  <c r="G85" i="36"/>
  <c r="G84" i="36"/>
  <c r="G83" i="36"/>
  <c r="G81" i="36"/>
  <c r="F77" i="36"/>
  <c r="G76" i="36"/>
  <c r="G75" i="36"/>
  <c r="G74" i="36"/>
  <c r="G73" i="36"/>
  <c r="G72" i="36"/>
  <c r="G71" i="36"/>
  <c r="G70" i="36"/>
  <c r="G68" i="36"/>
  <c r="G67" i="36"/>
  <c r="G66" i="36"/>
  <c r="G65" i="36"/>
  <c r="G64" i="36"/>
  <c r="G63" i="36"/>
  <c r="G62" i="36"/>
  <c r="G61" i="36"/>
  <c r="F57" i="36"/>
  <c r="G56" i="36"/>
  <c r="G55" i="36"/>
  <c r="G53" i="36"/>
  <c r="G52" i="36"/>
  <c r="G51" i="36"/>
  <c r="G49" i="36"/>
  <c r="G48" i="36"/>
  <c r="G47" i="36"/>
  <c r="G46" i="36"/>
  <c r="G45" i="36"/>
  <c r="G44" i="36"/>
  <c r="G43" i="36"/>
  <c r="G41" i="36"/>
  <c r="G40" i="36"/>
  <c r="G39" i="36"/>
  <c r="G38" i="36"/>
  <c r="G37" i="36"/>
  <c r="G36" i="36"/>
  <c r="G35" i="36"/>
  <c r="G33" i="36"/>
  <c r="G32" i="36"/>
  <c r="G31" i="36"/>
  <c r="G30" i="36"/>
  <c r="G29" i="36"/>
  <c r="G28" i="36"/>
  <c r="G27" i="36"/>
  <c r="G25" i="36"/>
  <c r="G23" i="36"/>
  <c r="G21" i="36"/>
  <c r="F17" i="36"/>
  <c r="N16" i="36"/>
  <c r="G16" i="36"/>
  <c r="G15" i="36"/>
  <c r="G14" i="36"/>
  <c r="G13" i="36"/>
  <c r="G202" i="36" l="1"/>
  <c r="G201" i="36"/>
  <c r="F205" i="36" s="1"/>
  <c r="K19" i="36"/>
  <c r="K18" i="36"/>
  <c r="G194" i="36"/>
  <c r="G198" i="36" s="1"/>
  <c r="G42" i="36"/>
  <c r="G54" i="36"/>
  <c r="G86" i="36"/>
  <c r="G174" i="36"/>
  <c r="G69" i="36"/>
  <c r="G82" i="36"/>
  <c r="G104" i="36"/>
  <c r="G118" i="36"/>
  <c r="G124" i="36"/>
  <c r="G151" i="36"/>
  <c r="G26" i="36"/>
  <c r="G50" i="36"/>
  <c r="G95" i="36"/>
  <c r="G99" i="36"/>
  <c r="G130" i="36"/>
  <c r="G144" i="36"/>
  <c r="G157" i="36"/>
  <c r="G170" i="36"/>
  <c r="G22" i="36"/>
  <c r="G34" i="36"/>
  <c r="G89" i="36"/>
  <c r="G181" i="36"/>
  <c r="G176" i="36"/>
  <c r="G12" i="36"/>
  <c r="G135" i="36"/>
  <c r="G57" i="36"/>
  <c r="G122" i="36"/>
  <c r="M15" i="36"/>
  <c r="M13" i="36"/>
  <c r="G139" i="36"/>
  <c r="G121" i="36"/>
  <c r="M14" i="36"/>
  <c r="G77" i="36"/>
  <c r="G24" i="36"/>
  <c r="F183" i="36"/>
  <c r="G60" i="36"/>
  <c r="G147" i="36"/>
  <c r="G110" i="36"/>
  <c r="G92" i="36"/>
  <c r="G80" i="36"/>
  <c r="G101" i="36"/>
  <c r="G164" i="36"/>
  <c r="G167" i="36"/>
  <c r="E198" i="36"/>
  <c r="F206" i="36" l="1"/>
  <c r="F207" i="36"/>
  <c r="M87" i="36"/>
  <c r="F190" i="36"/>
  <c r="M12" i="36"/>
  <c r="G183" i="36"/>
  <c r="H172" i="36" s="1"/>
  <c r="M155" i="36"/>
  <c r="M159" i="36"/>
  <c r="H198" i="36"/>
  <c r="M151" i="36"/>
  <c r="M180" i="36"/>
  <c r="M44" i="36"/>
  <c r="M28" i="36"/>
  <c r="K14" i="36"/>
  <c r="M21" i="36"/>
  <c r="M172" i="36"/>
  <c r="M170" i="36"/>
  <c r="M104" i="36"/>
  <c r="M37" i="36"/>
  <c r="M33" i="36"/>
  <c r="M146" i="36"/>
  <c r="M137" i="36"/>
  <c r="M128" i="36"/>
  <c r="M157" i="36"/>
  <c r="M144" i="36"/>
  <c r="M135" i="36"/>
  <c r="M117" i="36"/>
  <c r="M97" i="36"/>
  <c r="M84" i="36"/>
  <c r="M74" i="36"/>
  <c r="M69" i="36"/>
  <c r="M177" i="36"/>
  <c r="M53" i="36"/>
  <c r="M49" i="36"/>
  <c r="M30" i="36"/>
  <c r="M41" i="36"/>
  <c r="M95" i="36"/>
  <c r="M73" i="36"/>
  <c r="M25" i="36"/>
  <c r="M122" i="36"/>
  <c r="M91" i="36"/>
  <c r="M23" i="36"/>
  <c r="M106" i="36"/>
  <c r="M125" i="36"/>
  <c r="M92" i="36"/>
  <c r="M29" i="36"/>
  <c r="M105" i="36"/>
  <c r="M88" i="36"/>
  <c r="M77" i="36"/>
  <c r="M167" i="36"/>
  <c r="M150" i="36"/>
  <c r="M145" i="36"/>
  <c r="M142" i="36"/>
  <c r="M174" i="36"/>
  <c r="M158" i="36"/>
  <c r="M100" i="36"/>
  <c r="M86" i="36"/>
  <c r="M64" i="36"/>
  <c r="M72" i="36"/>
  <c r="M57" i="36"/>
  <c r="M154" i="36"/>
  <c r="M153" i="36"/>
  <c r="K15" i="36"/>
  <c r="M38" i="36"/>
  <c r="M131" i="36"/>
  <c r="M43" i="36"/>
  <c r="M24" i="36"/>
  <c r="M143" i="36"/>
  <c r="M42" i="36"/>
  <c r="M139" i="36"/>
  <c r="M40" i="36"/>
  <c r="M70" i="36"/>
  <c r="M31" i="36"/>
  <c r="M118" i="36"/>
  <c r="M179" i="36"/>
  <c r="M152" i="36"/>
  <c r="M176" i="36"/>
  <c r="M101" i="36"/>
  <c r="H194" i="36"/>
  <c r="M39" i="36"/>
  <c r="M85" i="36"/>
  <c r="M116" i="36"/>
  <c r="M34" i="36"/>
  <c r="M107" i="36"/>
  <c r="M175" i="36"/>
  <c r="M90" i="36"/>
  <c r="M136" i="36"/>
  <c r="M75" i="36"/>
  <c r="M138" i="36"/>
  <c r="M36" i="36"/>
  <c r="M96" i="36"/>
  <c r="M27" i="36"/>
  <c r="M67" i="36"/>
  <c r="H196" i="36"/>
  <c r="M22" i="36"/>
  <c r="M45" i="36"/>
  <c r="M89" i="36"/>
  <c r="M123" i="36"/>
  <c r="M168" i="36"/>
  <c r="M181" i="36"/>
  <c r="H195" i="36"/>
  <c r="M76" i="36"/>
  <c r="M32" i="36"/>
  <c r="M173" i="36"/>
  <c r="M114" i="36"/>
  <c r="E203" i="36"/>
  <c r="E205" i="36" s="1"/>
  <c r="G203" i="36"/>
  <c r="M80" i="36"/>
  <c r="M66" i="36"/>
  <c r="M47" i="36"/>
  <c r="M160" i="36"/>
  <c r="M98" i="36"/>
  <c r="M169" i="36"/>
  <c r="M56" i="36"/>
  <c r="M124" i="36"/>
  <c r="M163" i="36"/>
  <c r="M71" i="36"/>
  <c r="M26" i="36"/>
  <c r="M51" i="36"/>
  <c r="H197" i="36"/>
  <c r="M46" i="36"/>
  <c r="M109" i="36"/>
  <c r="M52" i="36"/>
  <c r="M115" i="36"/>
  <c r="M81" i="36"/>
  <c r="M99" i="36"/>
  <c r="M126" i="36"/>
  <c r="M156" i="36"/>
  <c r="M130" i="36"/>
  <c r="M48" i="36"/>
  <c r="M62" i="36"/>
  <c r="M129" i="36"/>
  <c r="M65" i="36"/>
  <c r="M110" i="36"/>
  <c r="M61" i="36"/>
  <c r="M113" i="36"/>
  <c r="M68" i="36"/>
  <c r="M164" i="36"/>
  <c r="M147" i="36"/>
  <c r="M54" i="36"/>
  <c r="M83" i="36"/>
  <c r="M171" i="36"/>
  <c r="M133" i="36"/>
  <c r="M178" i="36"/>
  <c r="M161" i="36"/>
  <c r="M162" i="36"/>
  <c r="M55" i="36"/>
  <c r="M134" i="36"/>
  <c r="M50" i="36"/>
  <c r="M60" i="36"/>
  <c r="G17" i="36"/>
  <c r="M63" i="36"/>
  <c r="E183" i="36"/>
  <c r="M127" i="36"/>
  <c r="M82" i="36"/>
  <c r="M121" i="36"/>
  <c r="M35" i="36"/>
  <c r="M108" i="36"/>
  <c r="E202" i="27"/>
  <c r="E201" i="27"/>
  <c r="F208" i="36" l="1"/>
  <c r="G201" i="27"/>
  <c r="F205" i="27" s="1"/>
  <c r="G202" i="27"/>
  <c r="G205" i="36"/>
  <c r="H43" i="36"/>
  <c r="H80" i="36"/>
  <c r="H65" i="36"/>
  <c r="H29" i="36"/>
  <c r="H121" i="36"/>
  <c r="H138" i="36"/>
  <c r="H100" i="36"/>
  <c r="H113" i="36"/>
  <c r="H33" i="36"/>
  <c r="H48" i="36"/>
  <c r="H55" i="36"/>
  <c r="H91" i="36"/>
  <c r="H127" i="36"/>
  <c r="H157" i="36"/>
  <c r="H109" i="36"/>
  <c r="H135" i="36"/>
  <c r="H41" i="36"/>
  <c r="H116" i="36"/>
  <c r="M183" i="36"/>
  <c r="H133" i="36"/>
  <c r="H83" i="36"/>
  <c r="H46" i="36"/>
  <c r="H31" i="36"/>
  <c r="H39" i="36"/>
  <c r="H108" i="36"/>
  <c r="H180" i="36"/>
  <c r="H175" i="36"/>
  <c r="H26" i="36"/>
  <c r="H170" i="36"/>
  <c r="H73" i="36"/>
  <c r="H85" i="36"/>
  <c r="H40" i="36"/>
  <c r="H45" i="36"/>
  <c r="H28" i="36"/>
  <c r="H42" i="36"/>
  <c r="H98" i="36"/>
  <c r="H47" i="36"/>
  <c r="H21" i="36"/>
  <c r="H134" i="36"/>
  <c r="H107" i="36"/>
  <c r="H154" i="36"/>
  <c r="H51" i="36"/>
  <c r="H50" i="36"/>
  <c r="H117" i="36"/>
  <c r="H38" i="36"/>
  <c r="H128" i="36"/>
  <c r="H69" i="36"/>
  <c r="H177" i="36"/>
  <c r="H23" i="36"/>
  <c r="H147" i="36"/>
  <c r="H164" i="36"/>
  <c r="H110" i="36"/>
  <c r="H124" i="36"/>
  <c r="H35" i="36"/>
  <c r="H68" i="36"/>
  <c r="H155" i="36"/>
  <c r="H105" i="36"/>
  <c r="H99" i="36"/>
  <c r="H158" i="36"/>
  <c r="H106" i="36"/>
  <c r="H74" i="36"/>
  <c r="H171" i="36"/>
  <c r="H30" i="36"/>
  <c r="H60" i="36"/>
  <c r="H61" i="36"/>
  <c r="H90" i="36"/>
  <c r="H86" i="36"/>
  <c r="H169" i="36"/>
  <c r="H49" i="36"/>
  <c r="H87" i="36"/>
  <c r="H97" i="36"/>
  <c r="H151" i="36"/>
  <c r="H54" i="36"/>
  <c r="H82" i="36"/>
  <c r="H178" i="36"/>
  <c r="H71" i="36"/>
  <c r="H114" i="36"/>
  <c r="H32" i="36"/>
  <c r="H144" i="36"/>
  <c r="H95" i="36"/>
  <c r="H160" i="36"/>
  <c r="H143" i="36"/>
  <c r="H66" i="36"/>
  <c r="H53" i="36"/>
  <c r="H156" i="36"/>
  <c r="H123" i="36"/>
  <c r="H174" i="36"/>
  <c r="H125" i="36"/>
  <c r="H101" i="36"/>
  <c r="H136" i="36"/>
  <c r="H131" i="36"/>
  <c r="H122" i="36"/>
  <c r="H167" i="36"/>
  <c r="H75" i="36"/>
  <c r="H176" i="36"/>
  <c r="H76" i="36"/>
  <c r="H137" i="36"/>
  <c r="H183" i="36"/>
  <c r="H89" i="36"/>
  <c r="H159" i="36"/>
  <c r="H81" i="36"/>
  <c r="H181" i="36"/>
  <c r="H64" i="36"/>
  <c r="H62" i="36"/>
  <c r="H77" i="36"/>
  <c r="H126" i="36"/>
  <c r="H72" i="36"/>
  <c r="H70" i="36"/>
  <c r="H130" i="36"/>
  <c r="H161" i="36"/>
  <c r="H88" i="36"/>
  <c r="H56" i="36"/>
  <c r="H25" i="36"/>
  <c r="K13" i="36"/>
  <c r="H150" i="36"/>
  <c r="H173" i="36"/>
  <c r="H118" i="36"/>
  <c r="H104" i="36"/>
  <c r="H139" i="36"/>
  <c r="H52" i="36"/>
  <c r="H146" i="36"/>
  <c r="H153" i="36"/>
  <c r="H142" i="36"/>
  <c r="H92" i="36"/>
  <c r="H44" i="36"/>
  <c r="H115" i="36"/>
  <c r="H145" i="36"/>
  <c r="H67" i="36"/>
  <c r="H63" i="36"/>
  <c r="H37" i="36"/>
  <c r="H96" i="36"/>
  <c r="H84" i="36"/>
  <c r="H34" i="36"/>
  <c r="H27" i="36"/>
  <c r="H57" i="36"/>
  <c r="H36" i="36"/>
  <c r="H24" i="36"/>
  <c r="H152" i="36"/>
  <c r="H163" i="36"/>
  <c r="H22" i="36"/>
  <c r="H179" i="36"/>
  <c r="H168" i="36"/>
  <c r="H162" i="36"/>
  <c r="H129" i="36"/>
  <c r="E190" i="36"/>
  <c r="E206" i="36"/>
  <c r="H17" i="36"/>
  <c r="G190" i="36"/>
  <c r="M17" i="36"/>
  <c r="K12" i="36"/>
  <c r="H12" i="36"/>
  <c r="H15" i="36"/>
  <c r="H16" i="36"/>
  <c r="H14" i="36"/>
  <c r="H13" i="36"/>
  <c r="F207" i="27" l="1"/>
  <c r="G206" i="36"/>
  <c r="K16" i="36"/>
  <c r="G207" i="36"/>
  <c r="M190" i="36"/>
  <c r="E207" i="36"/>
  <c r="G208" i="36" l="1"/>
  <c r="E208" i="36"/>
  <c r="K183" i="21" l="1"/>
  <c r="K183" i="19"/>
  <c r="K183" i="20"/>
  <c r="K183" i="5"/>
  <c r="K183" i="22"/>
  <c r="K183" i="6"/>
  <c r="K183" i="27"/>
  <c r="K183" i="35"/>
  <c r="K183" i="7"/>
  <c r="K183" i="23"/>
  <c r="K183" i="24"/>
  <c r="K183" i="10"/>
  <c r="K183" i="11"/>
  <c r="K183" i="13"/>
  <c r="K183" i="25"/>
  <c r="J183" i="21"/>
  <c r="J183" i="19"/>
  <c r="J183" i="20"/>
  <c r="J183" i="5"/>
  <c r="J183" i="22"/>
  <c r="J183" i="6"/>
  <c r="J183" i="27"/>
  <c r="J183" i="35"/>
  <c r="J183" i="7"/>
  <c r="J183" i="23"/>
  <c r="J183" i="24"/>
  <c r="J183" i="10"/>
  <c r="J183" i="11"/>
  <c r="J183" i="13"/>
  <c r="J183" i="25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6" i="21"/>
  <c r="E145" i="21"/>
  <c r="E144" i="21"/>
  <c r="E143" i="21"/>
  <c r="E142" i="21"/>
  <c r="E146" i="19"/>
  <c r="E145" i="19"/>
  <c r="E144" i="19"/>
  <c r="E143" i="19"/>
  <c r="E142" i="19"/>
  <c r="E146" i="20"/>
  <c r="E145" i="20"/>
  <c r="E144" i="20"/>
  <c r="E143" i="20"/>
  <c r="E142" i="20"/>
  <c r="E146" i="5"/>
  <c r="E145" i="5"/>
  <c r="E144" i="5"/>
  <c r="E143" i="5"/>
  <c r="E142" i="5"/>
  <c r="E146" i="22"/>
  <c r="E145" i="22"/>
  <c r="E144" i="22"/>
  <c r="E143" i="22"/>
  <c r="E142" i="22"/>
  <c r="E146" i="6"/>
  <c r="E145" i="6"/>
  <c r="E144" i="6"/>
  <c r="E143" i="6"/>
  <c r="E142" i="6"/>
  <c r="E146" i="27"/>
  <c r="E145" i="27"/>
  <c r="E144" i="27"/>
  <c r="E143" i="27"/>
  <c r="E142" i="27"/>
  <c r="E146" i="35"/>
  <c r="E145" i="35"/>
  <c r="E144" i="35"/>
  <c r="E143" i="35"/>
  <c r="E142" i="35"/>
  <c r="E146" i="23"/>
  <c r="E145" i="23"/>
  <c r="E144" i="23"/>
  <c r="E143" i="23"/>
  <c r="E142" i="23"/>
  <c r="E146" i="24"/>
  <c r="E145" i="24"/>
  <c r="E144" i="24"/>
  <c r="E143" i="24"/>
  <c r="E142" i="24"/>
  <c r="E146" i="10"/>
  <c r="E145" i="10"/>
  <c r="E144" i="10"/>
  <c r="E143" i="10"/>
  <c r="E142" i="10"/>
  <c r="E146" i="11"/>
  <c r="E145" i="11"/>
  <c r="E144" i="11"/>
  <c r="E143" i="11"/>
  <c r="E142" i="11"/>
  <c r="E146" i="13"/>
  <c r="E145" i="13"/>
  <c r="E144" i="13"/>
  <c r="E143" i="13"/>
  <c r="E142" i="13"/>
  <c r="E146" i="25"/>
  <c r="E145" i="25"/>
  <c r="E144" i="25"/>
  <c r="E143" i="25"/>
  <c r="E142" i="25"/>
  <c r="E138" i="21"/>
  <c r="E137" i="21"/>
  <c r="E136" i="21"/>
  <c r="E135" i="21"/>
  <c r="E134" i="21"/>
  <c r="E133" i="21"/>
  <c r="E138" i="19"/>
  <c r="E137" i="19"/>
  <c r="E136" i="19"/>
  <c r="E135" i="19"/>
  <c r="E134" i="19"/>
  <c r="E133" i="19"/>
  <c r="E138" i="20"/>
  <c r="E137" i="20"/>
  <c r="E136" i="20"/>
  <c r="E135" i="20"/>
  <c r="E134" i="20"/>
  <c r="E133" i="20"/>
  <c r="E138" i="5"/>
  <c r="E137" i="5"/>
  <c r="E136" i="5"/>
  <c r="E135" i="5"/>
  <c r="E134" i="5"/>
  <c r="E133" i="5"/>
  <c r="E138" i="22"/>
  <c r="E137" i="22"/>
  <c r="E136" i="22"/>
  <c r="E135" i="22"/>
  <c r="E134" i="22"/>
  <c r="E133" i="22"/>
  <c r="E138" i="6"/>
  <c r="E137" i="6"/>
  <c r="E136" i="6"/>
  <c r="E135" i="6"/>
  <c r="E134" i="6"/>
  <c r="E133" i="6"/>
  <c r="E138" i="27"/>
  <c r="E137" i="27"/>
  <c r="E136" i="27"/>
  <c r="E135" i="27"/>
  <c r="E134" i="27"/>
  <c r="E133" i="27"/>
  <c r="E138" i="35"/>
  <c r="E137" i="35"/>
  <c r="E136" i="35"/>
  <c r="E135" i="35"/>
  <c r="E134" i="35"/>
  <c r="E133" i="35"/>
  <c r="E138" i="23"/>
  <c r="E137" i="23"/>
  <c r="E136" i="23"/>
  <c r="E135" i="23"/>
  <c r="E134" i="23"/>
  <c r="E133" i="23"/>
  <c r="E138" i="24"/>
  <c r="E137" i="24"/>
  <c r="E136" i="24"/>
  <c r="E135" i="24"/>
  <c r="E134" i="24"/>
  <c r="E133" i="24"/>
  <c r="E138" i="10"/>
  <c r="E137" i="10"/>
  <c r="E136" i="10"/>
  <c r="E135" i="10"/>
  <c r="E134" i="10"/>
  <c r="E133" i="10"/>
  <c r="E138" i="11"/>
  <c r="E137" i="11"/>
  <c r="E136" i="11"/>
  <c r="E135" i="11"/>
  <c r="E134" i="11"/>
  <c r="E133" i="11"/>
  <c r="E138" i="13"/>
  <c r="E137" i="13"/>
  <c r="E136" i="13"/>
  <c r="E135" i="13"/>
  <c r="E134" i="13"/>
  <c r="E133" i="13"/>
  <c r="E138" i="25"/>
  <c r="E137" i="25"/>
  <c r="E136" i="25"/>
  <c r="E135" i="25"/>
  <c r="E134" i="25"/>
  <c r="E133" i="25"/>
  <c r="E131" i="21"/>
  <c r="E130" i="21"/>
  <c r="E129" i="21"/>
  <c r="E128" i="21"/>
  <c r="E127" i="21"/>
  <c r="E126" i="21"/>
  <c r="E125" i="21"/>
  <c r="E124" i="21"/>
  <c r="E123" i="21"/>
  <c r="E122" i="21"/>
  <c r="E121" i="21"/>
  <c r="E131" i="19"/>
  <c r="E130" i="19"/>
  <c r="E129" i="19"/>
  <c r="E128" i="19"/>
  <c r="E127" i="19"/>
  <c r="E126" i="19"/>
  <c r="E125" i="19"/>
  <c r="E124" i="19"/>
  <c r="E123" i="19"/>
  <c r="E122" i="19"/>
  <c r="E121" i="19"/>
  <c r="E131" i="20"/>
  <c r="E130" i="20"/>
  <c r="E129" i="20"/>
  <c r="E128" i="20"/>
  <c r="E127" i="20"/>
  <c r="E126" i="20"/>
  <c r="E125" i="20"/>
  <c r="E124" i="20"/>
  <c r="E123" i="20"/>
  <c r="E122" i="20"/>
  <c r="E121" i="20"/>
  <c r="E131" i="5"/>
  <c r="E130" i="5"/>
  <c r="E129" i="5"/>
  <c r="E128" i="5"/>
  <c r="E127" i="5"/>
  <c r="E126" i="5"/>
  <c r="E125" i="5"/>
  <c r="E124" i="5"/>
  <c r="E123" i="5"/>
  <c r="E122" i="5"/>
  <c r="E121" i="5"/>
  <c r="E131" i="22"/>
  <c r="E130" i="22"/>
  <c r="E129" i="22"/>
  <c r="E128" i="22"/>
  <c r="E127" i="22"/>
  <c r="E126" i="22"/>
  <c r="E125" i="22"/>
  <c r="E124" i="22"/>
  <c r="E123" i="22"/>
  <c r="E122" i="22"/>
  <c r="E121" i="22"/>
  <c r="E131" i="6"/>
  <c r="E130" i="6"/>
  <c r="E129" i="6"/>
  <c r="E128" i="6"/>
  <c r="E127" i="6"/>
  <c r="E126" i="6"/>
  <c r="E125" i="6"/>
  <c r="E124" i="6"/>
  <c r="E123" i="6"/>
  <c r="E122" i="6"/>
  <c r="E121" i="6"/>
  <c r="E131" i="27"/>
  <c r="E130" i="27"/>
  <c r="E129" i="27"/>
  <c r="E128" i="27"/>
  <c r="E127" i="27"/>
  <c r="E126" i="27"/>
  <c r="E125" i="27"/>
  <c r="E124" i="27"/>
  <c r="E123" i="27"/>
  <c r="E122" i="27"/>
  <c r="E121" i="27"/>
  <c r="E131" i="35"/>
  <c r="E130" i="35"/>
  <c r="E129" i="35"/>
  <c r="E128" i="35"/>
  <c r="E127" i="35"/>
  <c r="E126" i="35"/>
  <c r="E125" i="35"/>
  <c r="E124" i="35"/>
  <c r="E123" i="35"/>
  <c r="E122" i="35"/>
  <c r="E121" i="35"/>
  <c r="E131" i="23"/>
  <c r="E130" i="23"/>
  <c r="E129" i="23"/>
  <c r="E128" i="23"/>
  <c r="E127" i="23"/>
  <c r="E126" i="23"/>
  <c r="E125" i="23"/>
  <c r="E124" i="23"/>
  <c r="E123" i="23"/>
  <c r="E122" i="23"/>
  <c r="E121" i="23"/>
  <c r="E131" i="24"/>
  <c r="E130" i="24"/>
  <c r="E129" i="24"/>
  <c r="E128" i="24"/>
  <c r="E127" i="24"/>
  <c r="E126" i="24"/>
  <c r="E125" i="24"/>
  <c r="E124" i="24"/>
  <c r="E123" i="24"/>
  <c r="E122" i="24"/>
  <c r="E121" i="24"/>
  <c r="E131" i="10"/>
  <c r="E130" i="10"/>
  <c r="E129" i="10"/>
  <c r="E128" i="10"/>
  <c r="E127" i="10"/>
  <c r="E126" i="10"/>
  <c r="E125" i="10"/>
  <c r="E124" i="10"/>
  <c r="E123" i="10"/>
  <c r="E122" i="10"/>
  <c r="E121" i="10"/>
  <c r="E131" i="11"/>
  <c r="E130" i="11"/>
  <c r="E129" i="11"/>
  <c r="E128" i="11"/>
  <c r="E127" i="11"/>
  <c r="E126" i="11"/>
  <c r="E125" i="11"/>
  <c r="E124" i="11"/>
  <c r="E123" i="11"/>
  <c r="E122" i="11"/>
  <c r="E121" i="11"/>
  <c r="E131" i="13"/>
  <c r="E130" i="13"/>
  <c r="E129" i="13"/>
  <c r="E128" i="13"/>
  <c r="E127" i="13"/>
  <c r="E126" i="13"/>
  <c r="E125" i="13"/>
  <c r="E124" i="13"/>
  <c r="E123" i="13"/>
  <c r="E122" i="13"/>
  <c r="E121" i="13"/>
  <c r="E131" i="25"/>
  <c r="E130" i="25"/>
  <c r="E129" i="25"/>
  <c r="E128" i="25"/>
  <c r="E127" i="25"/>
  <c r="E126" i="25"/>
  <c r="E125" i="25"/>
  <c r="E124" i="25"/>
  <c r="E123" i="25"/>
  <c r="E122" i="25"/>
  <c r="E121" i="25"/>
  <c r="E117" i="21"/>
  <c r="E116" i="21"/>
  <c r="E115" i="21"/>
  <c r="E114" i="21"/>
  <c r="E113" i="21"/>
  <c r="E117" i="19"/>
  <c r="E116" i="19"/>
  <c r="E115" i="19"/>
  <c r="E114" i="19"/>
  <c r="E113" i="19"/>
  <c r="E117" i="20"/>
  <c r="E116" i="20"/>
  <c r="E115" i="20"/>
  <c r="E114" i="20"/>
  <c r="E113" i="20"/>
  <c r="E117" i="5"/>
  <c r="E116" i="5"/>
  <c r="E115" i="5"/>
  <c r="E114" i="5"/>
  <c r="E113" i="5"/>
  <c r="E117" i="22"/>
  <c r="E116" i="22"/>
  <c r="E115" i="22"/>
  <c r="E114" i="22"/>
  <c r="E113" i="22"/>
  <c r="E117" i="6"/>
  <c r="E116" i="6"/>
  <c r="E115" i="6"/>
  <c r="E114" i="6"/>
  <c r="E113" i="6"/>
  <c r="E117" i="27"/>
  <c r="E116" i="27"/>
  <c r="E115" i="27"/>
  <c r="E114" i="27"/>
  <c r="E113" i="27"/>
  <c r="E117" i="35"/>
  <c r="E116" i="35"/>
  <c r="E115" i="35"/>
  <c r="E114" i="35"/>
  <c r="E113" i="35"/>
  <c r="E117" i="23"/>
  <c r="E116" i="23"/>
  <c r="E115" i="23"/>
  <c r="E114" i="23"/>
  <c r="E113" i="23"/>
  <c r="E117" i="24"/>
  <c r="E116" i="24"/>
  <c r="E115" i="24"/>
  <c r="E114" i="24"/>
  <c r="E113" i="24"/>
  <c r="E117" i="10"/>
  <c r="E116" i="10"/>
  <c r="E115" i="10"/>
  <c r="E114" i="10"/>
  <c r="E113" i="10"/>
  <c r="E117" i="11"/>
  <c r="E116" i="11"/>
  <c r="E115" i="11"/>
  <c r="E114" i="11"/>
  <c r="E113" i="11"/>
  <c r="E117" i="13"/>
  <c r="E116" i="13"/>
  <c r="E115" i="13"/>
  <c r="E114" i="13"/>
  <c r="E113" i="13"/>
  <c r="E117" i="25"/>
  <c r="E116" i="25"/>
  <c r="E115" i="25"/>
  <c r="E114" i="25"/>
  <c r="E113" i="25"/>
  <c r="E109" i="21"/>
  <c r="E108" i="21"/>
  <c r="E107" i="21"/>
  <c r="E106" i="21"/>
  <c r="E105" i="21"/>
  <c r="E104" i="21"/>
  <c r="E109" i="19"/>
  <c r="E108" i="19"/>
  <c r="E107" i="19"/>
  <c r="E106" i="19"/>
  <c r="E105" i="19"/>
  <c r="E104" i="19"/>
  <c r="E109" i="20"/>
  <c r="E108" i="20"/>
  <c r="E107" i="20"/>
  <c r="E106" i="20"/>
  <c r="E105" i="20"/>
  <c r="E104" i="20"/>
  <c r="E109" i="5"/>
  <c r="E108" i="5"/>
  <c r="E107" i="5"/>
  <c r="E106" i="5"/>
  <c r="E105" i="5"/>
  <c r="E104" i="5"/>
  <c r="E109" i="22"/>
  <c r="E108" i="22"/>
  <c r="E107" i="22"/>
  <c r="E106" i="22"/>
  <c r="E105" i="22"/>
  <c r="E104" i="22"/>
  <c r="E109" i="6"/>
  <c r="E108" i="6"/>
  <c r="E107" i="6"/>
  <c r="E106" i="6"/>
  <c r="E105" i="6"/>
  <c r="E104" i="6"/>
  <c r="E109" i="27"/>
  <c r="E108" i="27"/>
  <c r="E107" i="27"/>
  <c r="E106" i="27"/>
  <c r="E105" i="27"/>
  <c r="E104" i="27"/>
  <c r="E109" i="35"/>
  <c r="E108" i="35"/>
  <c r="E107" i="35"/>
  <c r="E106" i="35"/>
  <c r="E105" i="35"/>
  <c r="E104" i="35"/>
  <c r="E109" i="23"/>
  <c r="E108" i="23"/>
  <c r="E107" i="23"/>
  <c r="E106" i="23"/>
  <c r="E105" i="23"/>
  <c r="E104" i="23"/>
  <c r="E109" i="24"/>
  <c r="E108" i="24"/>
  <c r="E107" i="24"/>
  <c r="E106" i="24"/>
  <c r="E105" i="24"/>
  <c r="E104" i="24"/>
  <c r="E109" i="10"/>
  <c r="E108" i="10"/>
  <c r="E107" i="10"/>
  <c r="E106" i="10"/>
  <c r="E105" i="10"/>
  <c r="E104" i="10"/>
  <c r="E109" i="11"/>
  <c r="E108" i="11"/>
  <c r="E107" i="11"/>
  <c r="E106" i="11"/>
  <c r="E105" i="11"/>
  <c r="E104" i="11"/>
  <c r="E109" i="13"/>
  <c r="E108" i="13"/>
  <c r="E107" i="13"/>
  <c r="E106" i="13"/>
  <c r="E105" i="13"/>
  <c r="E104" i="13"/>
  <c r="E109" i="25"/>
  <c r="E108" i="25"/>
  <c r="E107" i="25"/>
  <c r="E106" i="25"/>
  <c r="E105" i="25"/>
  <c r="E104" i="25"/>
  <c r="E100" i="21"/>
  <c r="E99" i="21"/>
  <c r="E98" i="21"/>
  <c r="E97" i="21"/>
  <c r="E96" i="21"/>
  <c r="E95" i="21"/>
  <c r="E100" i="19"/>
  <c r="E99" i="19"/>
  <c r="E98" i="19"/>
  <c r="E97" i="19"/>
  <c r="E96" i="19"/>
  <c r="E95" i="19"/>
  <c r="E100" i="20"/>
  <c r="E99" i="20"/>
  <c r="E98" i="20"/>
  <c r="E97" i="20"/>
  <c r="E96" i="20"/>
  <c r="E95" i="20"/>
  <c r="E100" i="5"/>
  <c r="E99" i="5"/>
  <c r="E98" i="5"/>
  <c r="E97" i="5"/>
  <c r="E96" i="5"/>
  <c r="E95" i="5"/>
  <c r="E100" i="22"/>
  <c r="E99" i="22"/>
  <c r="E98" i="22"/>
  <c r="E97" i="22"/>
  <c r="E96" i="22"/>
  <c r="E95" i="22"/>
  <c r="E100" i="6"/>
  <c r="E99" i="6"/>
  <c r="E98" i="6"/>
  <c r="E97" i="6"/>
  <c r="E96" i="6"/>
  <c r="E95" i="6"/>
  <c r="E100" i="27"/>
  <c r="E99" i="27"/>
  <c r="E98" i="27"/>
  <c r="E97" i="27"/>
  <c r="E96" i="27"/>
  <c r="E95" i="27"/>
  <c r="E100" i="35"/>
  <c r="E99" i="35"/>
  <c r="E98" i="35"/>
  <c r="E97" i="35"/>
  <c r="E96" i="35"/>
  <c r="E95" i="35"/>
  <c r="E100" i="23"/>
  <c r="E99" i="23"/>
  <c r="E98" i="23"/>
  <c r="E97" i="23"/>
  <c r="E96" i="23"/>
  <c r="E95" i="23"/>
  <c r="E100" i="24"/>
  <c r="E99" i="24"/>
  <c r="E98" i="24"/>
  <c r="E97" i="24"/>
  <c r="E96" i="24"/>
  <c r="E95" i="24"/>
  <c r="E100" i="10"/>
  <c r="E99" i="10"/>
  <c r="E98" i="10"/>
  <c r="E97" i="10"/>
  <c r="E96" i="10"/>
  <c r="E95" i="10"/>
  <c r="E100" i="11"/>
  <c r="E99" i="11"/>
  <c r="E98" i="11"/>
  <c r="E97" i="11"/>
  <c r="E96" i="11"/>
  <c r="E95" i="11"/>
  <c r="E100" i="13"/>
  <c r="E99" i="13"/>
  <c r="E98" i="13"/>
  <c r="E97" i="13"/>
  <c r="E96" i="13"/>
  <c r="E95" i="13"/>
  <c r="E100" i="25"/>
  <c r="E99" i="25"/>
  <c r="E98" i="25"/>
  <c r="E97" i="25"/>
  <c r="E96" i="25"/>
  <c r="E95" i="25"/>
  <c r="E91" i="21"/>
  <c r="E90" i="21"/>
  <c r="E89" i="21"/>
  <c r="E88" i="21"/>
  <c r="E87" i="21"/>
  <c r="E86" i="21"/>
  <c r="E85" i="21"/>
  <c r="E84" i="21"/>
  <c r="E83" i="21"/>
  <c r="E82" i="21"/>
  <c r="E81" i="21"/>
  <c r="E80" i="21"/>
  <c r="E91" i="19"/>
  <c r="E90" i="19"/>
  <c r="E89" i="19"/>
  <c r="E88" i="19"/>
  <c r="E87" i="19"/>
  <c r="E86" i="19"/>
  <c r="E85" i="19"/>
  <c r="E84" i="19"/>
  <c r="E83" i="19"/>
  <c r="E82" i="19"/>
  <c r="E81" i="19"/>
  <c r="E80" i="19"/>
  <c r="E91" i="20"/>
  <c r="E90" i="20"/>
  <c r="E89" i="20"/>
  <c r="E88" i="20"/>
  <c r="E87" i="20"/>
  <c r="E86" i="20"/>
  <c r="E85" i="20"/>
  <c r="E84" i="20"/>
  <c r="E83" i="20"/>
  <c r="E82" i="20"/>
  <c r="E81" i="20"/>
  <c r="E80" i="20"/>
  <c r="E91" i="5"/>
  <c r="E90" i="5"/>
  <c r="E89" i="5"/>
  <c r="E88" i="5"/>
  <c r="E87" i="5"/>
  <c r="E86" i="5"/>
  <c r="E85" i="5"/>
  <c r="E84" i="5"/>
  <c r="E83" i="5"/>
  <c r="E82" i="5"/>
  <c r="E81" i="5"/>
  <c r="E80" i="5"/>
  <c r="E91" i="22"/>
  <c r="E90" i="22"/>
  <c r="E89" i="22"/>
  <c r="E88" i="22"/>
  <c r="E87" i="22"/>
  <c r="E86" i="22"/>
  <c r="E85" i="22"/>
  <c r="E84" i="22"/>
  <c r="E83" i="22"/>
  <c r="E82" i="22"/>
  <c r="E81" i="22"/>
  <c r="E80" i="22"/>
  <c r="E91" i="6"/>
  <c r="E90" i="6"/>
  <c r="E89" i="6"/>
  <c r="E88" i="6"/>
  <c r="E87" i="6"/>
  <c r="E86" i="6"/>
  <c r="E85" i="6"/>
  <c r="E84" i="6"/>
  <c r="E83" i="6"/>
  <c r="E82" i="6"/>
  <c r="E81" i="6"/>
  <c r="E80" i="6"/>
  <c r="E91" i="27"/>
  <c r="E90" i="27"/>
  <c r="E89" i="27"/>
  <c r="E88" i="27"/>
  <c r="E87" i="27"/>
  <c r="E86" i="27"/>
  <c r="E85" i="27"/>
  <c r="E84" i="27"/>
  <c r="E83" i="27"/>
  <c r="E82" i="27"/>
  <c r="E81" i="27"/>
  <c r="E80" i="27"/>
  <c r="E91" i="35"/>
  <c r="E90" i="35"/>
  <c r="E89" i="35"/>
  <c r="E88" i="35"/>
  <c r="E87" i="35"/>
  <c r="E86" i="35"/>
  <c r="E85" i="35"/>
  <c r="E84" i="35"/>
  <c r="E83" i="35"/>
  <c r="E82" i="35"/>
  <c r="E81" i="35"/>
  <c r="E80" i="35"/>
  <c r="E91" i="23"/>
  <c r="E90" i="23"/>
  <c r="E89" i="23"/>
  <c r="E88" i="23"/>
  <c r="E87" i="23"/>
  <c r="E86" i="23"/>
  <c r="E85" i="23"/>
  <c r="E84" i="23"/>
  <c r="E83" i="23"/>
  <c r="E82" i="23"/>
  <c r="E81" i="23"/>
  <c r="E80" i="23"/>
  <c r="E91" i="24"/>
  <c r="E90" i="24"/>
  <c r="E89" i="24"/>
  <c r="E88" i="24"/>
  <c r="E87" i="24"/>
  <c r="E86" i="24"/>
  <c r="E85" i="24"/>
  <c r="E84" i="24"/>
  <c r="E83" i="24"/>
  <c r="E82" i="24"/>
  <c r="E81" i="24"/>
  <c r="E80" i="24"/>
  <c r="E91" i="10"/>
  <c r="E90" i="10"/>
  <c r="E89" i="10"/>
  <c r="E88" i="10"/>
  <c r="E87" i="10"/>
  <c r="E86" i="10"/>
  <c r="E85" i="10"/>
  <c r="E84" i="10"/>
  <c r="E83" i="10"/>
  <c r="E82" i="10"/>
  <c r="E81" i="10"/>
  <c r="E80" i="10"/>
  <c r="E91" i="11"/>
  <c r="E90" i="11"/>
  <c r="E89" i="11"/>
  <c r="E88" i="11"/>
  <c r="E87" i="11"/>
  <c r="E86" i="11"/>
  <c r="E85" i="11"/>
  <c r="E84" i="11"/>
  <c r="E83" i="11"/>
  <c r="E82" i="11"/>
  <c r="E81" i="11"/>
  <c r="E80" i="11"/>
  <c r="E91" i="13"/>
  <c r="E90" i="13"/>
  <c r="E89" i="13"/>
  <c r="E88" i="13"/>
  <c r="E87" i="13"/>
  <c r="E86" i="13"/>
  <c r="E85" i="13"/>
  <c r="E84" i="13"/>
  <c r="E83" i="13"/>
  <c r="E82" i="13"/>
  <c r="E81" i="13"/>
  <c r="E80" i="13"/>
  <c r="E91" i="25"/>
  <c r="E90" i="25"/>
  <c r="E89" i="25"/>
  <c r="E88" i="25"/>
  <c r="E87" i="25"/>
  <c r="E86" i="25"/>
  <c r="E85" i="25"/>
  <c r="E84" i="25"/>
  <c r="E83" i="25"/>
  <c r="E82" i="25"/>
  <c r="E81" i="25"/>
  <c r="E80" i="25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16" i="21"/>
  <c r="E15" i="21"/>
  <c r="E14" i="21"/>
  <c r="E13" i="21"/>
  <c r="E16" i="19"/>
  <c r="E15" i="19"/>
  <c r="E14" i="19"/>
  <c r="E13" i="19"/>
  <c r="E16" i="20"/>
  <c r="E15" i="20"/>
  <c r="E14" i="20"/>
  <c r="E13" i="20"/>
  <c r="E16" i="5"/>
  <c r="E15" i="5"/>
  <c r="E14" i="5"/>
  <c r="E13" i="5"/>
  <c r="E16" i="22"/>
  <c r="E15" i="22"/>
  <c r="E14" i="22"/>
  <c r="E13" i="22"/>
  <c r="E16" i="6"/>
  <c r="E15" i="6"/>
  <c r="E14" i="6"/>
  <c r="E13" i="6"/>
  <c r="E16" i="27"/>
  <c r="E15" i="27"/>
  <c r="E14" i="27"/>
  <c r="E13" i="27"/>
  <c r="E16" i="35"/>
  <c r="E15" i="35"/>
  <c r="E14" i="35"/>
  <c r="E13" i="35"/>
  <c r="E16" i="23"/>
  <c r="E15" i="23"/>
  <c r="E14" i="23"/>
  <c r="E13" i="23"/>
  <c r="E16" i="24"/>
  <c r="E15" i="24"/>
  <c r="E14" i="24"/>
  <c r="E13" i="24"/>
  <c r="E16" i="10"/>
  <c r="E15" i="10"/>
  <c r="E14" i="10"/>
  <c r="E13" i="10"/>
  <c r="E16" i="11"/>
  <c r="E15" i="11"/>
  <c r="E14" i="11"/>
  <c r="E13" i="11"/>
  <c r="E16" i="13"/>
  <c r="E15" i="13"/>
  <c r="E14" i="13"/>
  <c r="E13" i="13"/>
  <c r="E16" i="25"/>
  <c r="E15" i="25"/>
  <c r="E14" i="25"/>
  <c r="E13" i="25"/>
  <c r="E12" i="21"/>
  <c r="E12" i="19"/>
  <c r="E12" i="20"/>
  <c r="E12" i="5"/>
  <c r="E12" i="22"/>
  <c r="E12" i="6"/>
  <c r="E12" i="27"/>
  <c r="E12" i="35"/>
  <c r="E12" i="23"/>
  <c r="E12" i="24"/>
  <c r="E12" i="10"/>
  <c r="E12" i="11"/>
  <c r="E12" i="13"/>
  <c r="E12" i="25"/>
  <c r="F92" i="35" l="1"/>
  <c r="E202" i="13" l="1"/>
  <c r="G202" i="13" s="1"/>
  <c r="E201" i="13"/>
  <c r="E197" i="13"/>
  <c r="E196" i="13"/>
  <c r="E195" i="13"/>
  <c r="E194" i="13"/>
  <c r="E202" i="25"/>
  <c r="G202" i="25" s="1"/>
  <c r="E201" i="25"/>
  <c r="E197" i="25"/>
  <c r="E196" i="25"/>
  <c r="E195" i="25"/>
  <c r="E194" i="25"/>
  <c r="E202" i="11"/>
  <c r="G202" i="11" s="1"/>
  <c r="E201" i="11"/>
  <c r="E197" i="11"/>
  <c r="E196" i="11"/>
  <c r="E195" i="11"/>
  <c r="E194" i="11"/>
  <c r="E202" i="10"/>
  <c r="G202" i="10" s="1"/>
  <c r="E201" i="10"/>
  <c r="E197" i="10"/>
  <c r="E196" i="10"/>
  <c r="E195" i="10"/>
  <c r="G201" i="25" l="1"/>
  <c r="F205" i="25" s="1"/>
  <c r="F207" i="25" s="1"/>
  <c r="G201" i="13"/>
  <c r="F205" i="13" s="1"/>
  <c r="F207" i="13" s="1"/>
  <c r="G201" i="10"/>
  <c r="F205" i="10" s="1"/>
  <c r="E205" i="10"/>
  <c r="G201" i="11"/>
  <c r="F205" i="11" s="1"/>
  <c r="F207" i="11" s="1"/>
  <c r="E203" i="10"/>
  <c r="E147" i="25"/>
  <c r="E203" i="11"/>
  <c r="E205" i="11" s="1"/>
  <c r="E118" i="10"/>
  <c r="E203" i="13"/>
  <c r="E205" i="13" s="1"/>
  <c r="E110" i="13"/>
  <c r="E92" i="25"/>
  <c r="E110" i="25"/>
  <c r="E203" i="25"/>
  <c r="E205" i="25" s="1"/>
  <c r="E181" i="13"/>
  <c r="E101" i="10"/>
  <c r="E139" i="10"/>
  <c r="E77" i="10"/>
  <c r="E139" i="11"/>
  <c r="E77" i="25"/>
  <c r="E17" i="10"/>
  <c r="E147" i="10"/>
  <c r="E77" i="11"/>
  <c r="E118" i="11"/>
  <c r="E181" i="25"/>
  <c r="E17" i="13"/>
  <c r="E57" i="13"/>
  <c r="E118" i="13"/>
  <c r="E110" i="11"/>
  <c r="E164" i="10"/>
  <c r="E92" i="10"/>
  <c r="E181" i="10"/>
  <c r="E164" i="11"/>
  <c r="E164" i="25"/>
  <c r="E17" i="11"/>
  <c r="E92" i="11"/>
  <c r="E181" i="11"/>
  <c r="E17" i="25"/>
  <c r="E57" i="25"/>
  <c r="E118" i="25"/>
  <c r="E101" i="13"/>
  <c r="E139" i="13"/>
  <c r="E147" i="13"/>
  <c r="E164" i="13"/>
  <c r="E101" i="25"/>
  <c r="E139" i="25"/>
  <c r="E101" i="11"/>
  <c r="E147" i="11"/>
  <c r="E92" i="13"/>
  <c r="E110" i="10"/>
  <c r="E77" i="13"/>
  <c r="E198" i="13"/>
  <c r="E198" i="25"/>
  <c r="E198" i="11"/>
  <c r="E57" i="11"/>
  <c r="E57" i="10"/>
  <c r="E194" i="10"/>
  <c r="E207" i="11" l="1"/>
  <c r="E207" i="13"/>
  <c r="F207" i="10"/>
  <c r="E207" i="25"/>
  <c r="G203" i="25"/>
  <c r="E183" i="10"/>
  <c r="E190" i="10" s="1"/>
  <c r="E183" i="25"/>
  <c r="E190" i="25" s="1"/>
  <c r="E183" i="13"/>
  <c r="E190" i="13" s="1"/>
  <c r="E206" i="11"/>
  <c r="E208" i="11" s="1"/>
  <c r="E183" i="11"/>
  <c r="E190" i="11" s="1"/>
  <c r="E206" i="13"/>
  <c r="E208" i="13" s="1"/>
  <c r="E207" i="10"/>
  <c r="E198" i="10"/>
  <c r="E206" i="10" s="1"/>
  <c r="E206" i="25" l="1"/>
  <c r="E208" i="25" s="1"/>
  <c r="E208" i="10"/>
  <c r="E202" i="24" l="1"/>
  <c r="G202" i="24" s="1"/>
  <c r="E201" i="24"/>
  <c r="E197" i="24"/>
  <c r="E196" i="24"/>
  <c r="E195" i="24"/>
  <c r="E194" i="24"/>
  <c r="E202" i="23"/>
  <c r="G202" i="23" s="1"/>
  <c r="E201" i="23"/>
  <c r="E197" i="23"/>
  <c r="E196" i="23"/>
  <c r="E195" i="23"/>
  <c r="E194" i="23"/>
  <c r="E202" i="7"/>
  <c r="G202" i="7" s="1"/>
  <c r="E201" i="7"/>
  <c r="E197" i="7"/>
  <c r="E196" i="7"/>
  <c r="E195" i="7"/>
  <c r="E194" i="7"/>
  <c r="G201" i="23" l="1"/>
  <c r="F205" i="23" s="1"/>
  <c r="F207" i="23" s="1"/>
  <c r="E205" i="23"/>
  <c r="G201" i="7"/>
  <c r="F205" i="7" s="1"/>
  <c r="G201" i="24"/>
  <c r="F205" i="24" s="1"/>
  <c r="F207" i="24" s="1"/>
  <c r="E205" i="24"/>
  <c r="E203" i="7"/>
  <c r="E205" i="7" s="1"/>
  <c r="E203" i="24"/>
  <c r="E203" i="23"/>
  <c r="E17" i="24"/>
  <c r="E147" i="24"/>
  <c r="E57" i="24"/>
  <c r="E164" i="24"/>
  <c r="E77" i="23"/>
  <c r="E110" i="23"/>
  <c r="E181" i="23"/>
  <c r="E17" i="23"/>
  <c r="E57" i="23"/>
  <c r="E118" i="23"/>
  <c r="E92" i="24"/>
  <c r="E181" i="24"/>
  <c r="E110" i="24"/>
  <c r="E92" i="23"/>
  <c r="E101" i="24"/>
  <c r="E139" i="24"/>
  <c r="E101" i="23"/>
  <c r="E139" i="23"/>
  <c r="E147" i="23"/>
  <c r="E164" i="23"/>
  <c r="E77" i="24"/>
  <c r="E118" i="24"/>
  <c r="E198" i="24"/>
  <c r="E198" i="23"/>
  <c r="E198" i="7"/>
  <c r="E202" i="35"/>
  <c r="E201" i="35"/>
  <c r="E197" i="35"/>
  <c r="E196" i="35"/>
  <c r="E195" i="35"/>
  <c r="E197" i="27"/>
  <c r="E196" i="27"/>
  <c r="E195" i="27"/>
  <c r="E194" i="27"/>
  <c r="E202" i="6"/>
  <c r="G202" i="6" s="1"/>
  <c r="E201" i="6"/>
  <c r="E197" i="6"/>
  <c r="E196" i="6"/>
  <c r="E195" i="6"/>
  <c r="E194" i="6"/>
  <c r="E202" i="22"/>
  <c r="G202" i="22" s="1"/>
  <c r="E201" i="22"/>
  <c r="E197" i="22"/>
  <c r="E196" i="22"/>
  <c r="E195" i="22"/>
  <c r="E202" i="5"/>
  <c r="G202" i="5" s="1"/>
  <c r="E201" i="5"/>
  <c r="G201" i="5" s="1"/>
  <c r="F205" i="5" s="1"/>
  <c r="F207" i="5" s="1"/>
  <c r="E197" i="5"/>
  <c r="E196" i="5"/>
  <c r="E195" i="5"/>
  <c r="E194" i="5"/>
  <c r="E202" i="20"/>
  <c r="G202" i="20" s="1"/>
  <c r="E201" i="20"/>
  <c r="E197" i="20"/>
  <c r="E196" i="20"/>
  <c r="E195" i="20"/>
  <c r="E202" i="19"/>
  <c r="G202" i="19" s="1"/>
  <c r="E201" i="19"/>
  <c r="E197" i="19"/>
  <c r="E196" i="19"/>
  <c r="E195" i="19"/>
  <c r="E194" i="19"/>
  <c r="G201" i="35" l="1"/>
  <c r="F205" i="35" s="1"/>
  <c r="E207" i="24"/>
  <c r="G203" i="24"/>
  <c r="G201" i="19"/>
  <c r="F205" i="19" s="1"/>
  <c r="G201" i="22"/>
  <c r="F205" i="22" s="1"/>
  <c r="F207" i="22" s="1"/>
  <c r="G202" i="35"/>
  <c r="E207" i="7"/>
  <c r="F207" i="7"/>
  <c r="G201" i="20"/>
  <c r="F205" i="20" s="1"/>
  <c r="F207" i="20" s="1"/>
  <c r="G201" i="6"/>
  <c r="F205" i="6" s="1"/>
  <c r="F207" i="6" s="1"/>
  <c r="E207" i="23"/>
  <c r="G203" i="23"/>
  <c r="E203" i="5"/>
  <c r="E203" i="27"/>
  <c r="E147" i="6"/>
  <c r="E203" i="22"/>
  <c r="E205" i="22" s="1"/>
  <c r="E203" i="20"/>
  <c r="E205" i="20" s="1"/>
  <c r="E17" i="5"/>
  <c r="E206" i="24"/>
  <c r="E208" i="24" s="1"/>
  <c r="E118" i="35"/>
  <c r="E203" i="19"/>
  <c r="E203" i="6"/>
  <c r="E183" i="23"/>
  <c r="E190" i="23" s="1"/>
  <c r="E164" i="6"/>
  <c r="E17" i="27"/>
  <c r="E181" i="35"/>
  <c r="E118" i="6"/>
  <c r="E118" i="22"/>
  <c r="E147" i="27"/>
  <c r="E92" i="35"/>
  <c r="E17" i="20"/>
  <c r="E147" i="5"/>
  <c r="E183" i="7"/>
  <c r="E190" i="7" s="1"/>
  <c r="E110" i="5"/>
  <c r="E203" i="35"/>
  <c r="E205" i="35" s="1"/>
  <c r="E110" i="20"/>
  <c r="E147" i="20"/>
  <c r="E17" i="6"/>
  <c r="E147" i="19"/>
  <c r="E118" i="27"/>
  <c r="E206" i="7"/>
  <c r="E208" i="7" s="1"/>
  <c r="E183" i="24"/>
  <c r="E190" i="24" s="1"/>
  <c r="E77" i="20"/>
  <c r="E110" i="27"/>
  <c r="E110" i="19"/>
  <c r="E118" i="5"/>
  <c r="E92" i="22"/>
  <c r="E101" i="22"/>
  <c r="E17" i="35"/>
  <c r="E147" i="35"/>
  <c r="E17" i="22"/>
  <c r="E110" i="35"/>
  <c r="E139" i="19"/>
  <c r="E57" i="20"/>
  <c r="E164" i="20"/>
  <c r="E110" i="22"/>
  <c r="E92" i="6"/>
  <c r="E139" i="35"/>
  <c r="E77" i="19"/>
  <c r="E92" i="19"/>
  <c r="E92" i="5"/>
  <c r="E92" i="27"/>
  <c r="E101" i="35"/>
  <c r="E139" i="27"/>
  <c r="E77" i="22"/>
  <c r="E147" i="22"/>
  <c r="E110" i="6"/>
  <c r="E101" i="19"/>
  <c r="E164" i="19"/>
  <c r="E181" i="19"/>
  <c r="E164" i="5"/>
  <c r="E139" i="22"/>
  <c r="E57" i="6"/>
  <c r="E139" i="6"/>
  <c r="E164" i="27"/>
  <c r="E181" i="22"/>
  <c r="E57" i="5"/>
  <c r="E139" i="5"/>
  <c r="E181" i="6"/>
  <c r="E57" i="27"/>
  <c r="E77" i="35"/>
  <c r="E118" i="19"/>
  <c r="E92" i="20"/>
  <c r="E118" i="20"/>
  <c r="E181" i="20"/>
  <c r="E77" i="5"/>
  <c r="E101" i="5"/>
  <c r="E77" i="27"/>
  <c r="E101" i="27"/>
  <c r="E57" i="35"/>
  <c r="E164" i="35"/>
  <c r="E77" i="6"/>
  <c r="E101" i="6"/>
  <c r="E57" i="19"/>
  <c r="E139" i="20"/>
  <c r="E17" i="19"/>
  <c r="E101" i="20"/>
  <c r="E181" i="5"/>
  <c r="E57" i="22"/>
  <c r="E164" i="22"/>
  <c r="E181" i="27"/>
  <c r="E194" i="35"/>
  <c r="E198" i="27"/>
  <c r="E198" i="6"/>
  <c r="E194" i="22"/>
  <c r="E198" i="5"/>
  <c r="E194" i="20"/>
  <c r="E198" i="19"/>
  <c r="A1" i="13"/>
  <c r="E205" i="19" l="1"/>
  <c r="E205" i="6"/>
  <c r="E207" i="6" s="1"/>
  <c r="F207" i="19"/>
  <c r="F207" i="35"/>
  <c r="E205" i="27"/>
  <c r="E206" i="27" s="1"/>
  <c r="E205" i="5"/>
  <c r="E207" i="5" s="1"/>
  <c r="E206" i="23"/>
  <c r="E208" i="23" s="1"/>
  <c r="E207" i="20"/>
  <c r="G203" i="20"/>
  <c r="E207" i="22"/>
  <c r="G203" i="22"/>
  <c r="E207" i="19"/>
  <c r="G203" i="19"/>
  <c r="E183" i="6"/>
  <c r="E190" i="6" s="1"/>
  <c r="E206" i="5"/>
  <c r="E183" i="27"/>
  <c r="E190" i="27" s="1"/>
  <c r="E183" i="20"/>
  <c r="E190" i="20" s="1"/>
  <c r="E183" i="19"/>
  <c r="E190" i="19" s="1"/>
  <c r="E183" i="35"/>
  <c r="E183" i="5"/>
  <c r="E190" i="5" s="1"/>
  <c r="E183" i="22"/>
  <c r="E190" i="22" s="1"/>
  <c r="E206" i="6"/>
  <c r="E198" i="35"/>
  <c r="E198" i="22"/>
  <c r="E198" i="20"/>
  <c r="E208" i="6" l="1"/>
  <c r="E207" i="27"/>
  <c r="E208" i="27" s="1"/>
  <c r="E208" i="5"/>
  <c r="E206" i="20"/>
  <c r="E208" i="20" s="1"/>
  <c r="E206" i="22"/>
  <c r="E208" i="22" s="1"/>
  <c r="E206" i="19"/>
  <c r="E206" i="35"/>
  <c r="E207" i="35"/>
  <c r="E190" i="35"/>
  <c r="E208" i="19" l="1"/>
  <c r="E208" i="35"/>
  <c r="G197" i="35" l="1"/>
  <c r="G180" i="35"/>
  <c r="G179" i="35"/>
  <c r="G178" i="35"/>
  <c r="G177" i="35"/>
  <c r="G176" i="35"/>
  <c r="G173" i="35"/>
  <c r="G172" i="35"/>
  <c r="G171" i="35"/>
  <c r="G170" i="35"/>
  <c r="G169" i="35"/>
  <c r="G168" i="35"/>
  <c r="G163" i="35"/>
  <c r="G161" i="35"/>
  <c r="G160" i="35"/>
  <c r="G159" i="35"/>
  <c r="G158" i="35"/>
  <c r="G156" i="35"/>
  <c r="G155" i="35"/>
  <c r="G152" i="35"/>
  <c r="G151" i="35"/>
  <c r="G145" i="35"/>
  <c r="G144" i="35"/>
  <c r="G143" i="35"/>
  <c r="G138" i="35"/>
  <c r="G137" i="35"/>
  <c r="G135" i="35"/>
  <c r="G133" i="35"/>
  <c r="G131" i="35"/>
  <c r="G129" i="35"/>
  <c r="G128" i="35"/>
  <c r="G124" i="35"/>
  <c r="G122" i="35"/>
  <c r="G117" i="35"/>
  <c r="G114" i="35"/>
  <c r="G109" i="35"/>
  <c r="G108" i="35"/>
  <c r="G107" i="35"/>
  <c r="G106" i="35"/>
  <c r="G97" i="35"/>
  <c r="G91" i="35"/>
  <c r="G90" i="35"/>
  <c r="G89" i="35"/>
  <c r="G88" i="35"/>
  <c r="G85" i="35"/>
  <c r="G84" i="35"/>
  <c r="G83" i="35"/>
  <c r="G82" i="35"/>
  <c r="G81" i="35"/>
  <c r="G76" i="35"/>
  <c r="G75" i="35"/>
  <c r="G73" i="35"/>
  <c r="G72" i="35"/>
  <c r="G71" i="35"/>
  <c r="G70" i="35"/>
  <c r="G69" i="35"/>
  <c r="G67" i="35"/>
  <c r="G65" i="35"/>
  <c r="G64" i="35"/>
  <c r="G63" i="35"/>
  <c r="G62" i="35"/>
  <c r="G61" i="35"/>
  <c r="G56" i="35"/>
  <c r="G54" i="35"/>
  <c r="G53" i="35"/>
  <c r="G52" i="35"/>
  <c r="G51" i="35"/>
  <c r="G50" i="35"/>
  <c r="G49" i="35"/>
  <c r="G48" i="35"/>
  <c r="G47" i="35"/>
  <c r="G44" i="35"/>
  <c r="G43" i="35"/>
  <c r="G40" i="35"/>
  <c r="G39" i="35"/>
  <c r="G38" i="35"/>
  <c r="G36" i="35"/>
  <c r="G35" i="35"/>
  <c r="G33" i="35"/>
  <c r="G32" i="35"/>
  <c r="G31" i="35"/>
  <c r="G27" i="35"/>
  <c r="G26" i="35"/>
  <c r="G24" i="35"/>
  <c r="G23" i="35"/>
  <c r="G22" i="35"/>
  <c r="G16" i="35"/>
  <c r="G15" i="35"/>
  <c r="G14" i="35"/>
  <c r="G13" i="35"/>
  <c r="F198" i="35"/>
  <c r="G196" i="35"/>
  <c r="G195" i="35"/>
  <c r="F181" i="35"/>
  <c r="G175" i="35"/>
  <c r="G174" i="35"/>
  <c r="F164" i="35"/>
  <c r="G162" i="35"/>
  <c r="G154" i="35"/>
  <c r="G153" i="35"/>
  <c r="F147" i="35"/>
  <c r="G146" i="35"/>
  <c r="F139" i="35"/>
  <c r="G136" i="35"/>
  <c r="G134" i="35"/>
  <c r="G127" i="35"/>
  <c r="G126" i="35"/>
  <c r="G125" i="35"/>
  <c r="G123" i="35"/>
  <c r="F118" i="35"/>
  <c r="G116" i="35"/>
  <c r="G115" i="35"/>
  <c r="F110" i="35"/>
  <c r="G105" i="35"/>
  <c r="F101" i="35"/>
  <c r="G100" i="35"/>
  <c r="G99" i="35"/>
  <c r="G96" i="35"/>
  <c r="G87" i="35"/>
  <c r="G86" i="35"/>
  <c r="F77" i="35"/>
  <c r="G74" i="35"/>
  <c r="G68" i="35"/>
  <c r="G66" i="35"/>
  <c r="F57" i="35"/>
  <c r="G55" i="35"/>
  <c r="G46" i="35"/>
  <c r="G45" i="35"/>
  <c r="G42" i="35"/>
  <c r="G41" i="35"/>
  <c r="G37" i="35"/>
  <c r="G34" i="35"/>
  <c r="G30" i="35"/>
  <c r="G29" i="35"/>
  <c r="G28" i="35"/>
  <c r="G25" i="35"/>
  <c r="K18" i="35"/>
  <c r="F17" i="35"/>
  <c r="N16" i="35"/>
  <c r="F206" i="35" l="1"/>
  <c r="K19" i="35"/>
  <c r="G77" i="35"/>
  <c r="G101" i="35"/>
  <c r="G118" i="35"/>
  <c r="G92" i="35"/>
  <c r="G139" i="35"/>
  <c r="G164" i="35"/>
  <c r="G110" i="35"/>
  <c r="G157" i="35"/>
  <c r="G147" i="35"/>
  <c r="G181" i="35"/>
  <c r="G98" i="35"/>
  <c r="G130" i="35"/>
  <c r="G17" i="35"/>
  <c r="F183" i="35"/>
  <c r="M13" i="35"/>
  <c r="M14" i="35"/>
  <c r="M15" i="35"/>
  <c r="G12" i="35"/>
  <c r="G21" i="35"/>
  <c r="G57" i="35"/>
  <c r="G60" i="35"/>
  <c r="G80" i="35"/>
  <c r="G95" i="35"/>
  <c r="G104" i="35"/>
  <c r="G113" i="35"/>
  <c r="G121" i="35"/>
  <c r="G142" i="35"/>
  <c r="G150" i="35"/>
  <c r="G167" i="35"/>
  <c r="G144" i="25"/>
  <c r="G124" i="25"/>
  <c r="G96" i="25"/>
  <c r="G32" i="25"/>
  <c r="F12" i="14"/>
  <c r="F13" i="14"/>
  <c r="F14" i="14"/>
  <c r="F15" i="14"/>
  <c r="F16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5" i="14"/>
  <c r="F96" i="14"/>
  <c r="F97" i="14"/>
  <c r="F98" i="14"/>
  <c r="F99" i="14"/>
  <c r="F100" i="14"/>
  <c r="F104" i="14"/>
  <c r="F105" i="14"/>
  <c r="F106" i="14"/>
  <c r="F107" i="14"/>
  <c r="F108" i="14"/>
  <c r="F109" i="14"/>
  <c r="F113" i="14"/>
  <c r="F114" i="14"/>
  <c r="F115" i="14"/>
  <c r="F116" i="14"/>
  <c r="F117" i="14"/>
  <c r="F121" i="14"/>
  <c r="F122" i="14"/>
  <c r="F123" i="14"/>
  <c r="F124" i="14"/>
  <c r="F125" i="14"/>
  <c r="F126" i="14"/>
  <c r="F127" i="14"/>
  <c r="F128" i="14"/>
  <c r="F129" i="14"/>
  <c r="F130" i="14"/>
  <c r="F131" i="14"/>
  <c r="F133" i="14"/>
  <c r="F134" i="14"/>
  <c r="F135" i="14"/>
  <c r="F136" i="14"/>
  <c r="F137" i="14"/>
  <c r="F138" i="14"/>
  <c r="F142" i="14"/>
  <c r="F143" i="14"/>
  <c r="F144" i="14"/>
  <c r="F145" i="14"/>
  <c r="F146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C186" i="14"/>
  <c r="D194" i="14"/>
  <c r="F194" i="14"/>
  <c r="D195" i="14"/>
  <c r="F195" i="14"/>
  <c r="D196" i="14"/>
  <c r="F196" i="14"/>
  <c r="D197" i="14"/>
  <c r="F197" i="14"/>
  <c r="D201" i="14"/>
  <c r="D202" i="14"/>
  <c r="F202" i="14"/>
  <c r="C203" i="14"/>
  <c r="G15" i="13"/>
  <c r="G16" i="13"/>
  <c r="N16" i="13"/>
  <c r="F17" i="13"/>
  <c r="G22" i="13"/>
  <c r="G25" i="13"/>
  <c r="G26" i="13"/>
  <c r="G30" i="13"/>
  <c r="G33" i="13"/>
  <c r="G34" i="13"/>
  <c r="G42" i="13"/>
  <c r="G48" i="13"/>
  <c r="G51" i="13"/>
  <c r="G52" i="13"/>
  <c r="F57" i="13"/>
  <c r="G63" i="13"/>
  <c r="G67" i="13"/>
  <c r="G70" i="13"/>
  <c r="G71" i="13"/>
  <c r="F77" i="13"/>
  <c r="G83" i="13"/>
  <c r="G84" i="13"/>
  <c r="G85" i="13"/>
  <c r="G88" i="13"/>
  <c r="G89" i="13"/>
  <c r="F92" i="13"/>
  <c r="G95" i="13"/>
  <c r="G96" i="13"/>
  <c r="G97" i="13"/>
  <c r="G98" i="13"/>
  <c r="F101" i="13"/>
  <c r="F110" i="13"/>
  <c r="G113" i="13"/>
  <c r="G114" i="13"/>
  <c r="G115" i="13"/>
  <c r="G117" i="13"/>
  <c r="F118" i="13"/>
  <c r="G131" i="13"/>
  <c r="G133" i="13"/>
  <c r="G134" i="13"/>
  <c r="G137" i="13"/>
  <c r="F139" i="13"/>
  <c r="G146" i="13"/>
  <c r="F147" i="13"/>
  <c r="G151" i="13"/>
  <c r="G155" i="13"/>
  <c r="G158" i="13"/>
  <c r="G159" i="13"/>
  <c r="F164" i="13"/>
  <c r="G171" i="13"/>
  <c r="G172" i="13"/>
  <c r="G176" i="13"/>
  <c r="G180" i="13"/>
  <c r="F181" i="13"/>
  <c r="F198" i="13"/>
  <c r="G12" i="25"/>
  <c r="G16" i="25"/>
  <c r="N16" i="25"/>
  <c r="F17" i="25"/>
  <c r="G21" i="25"/>
  <c r="G22" i="25"/>
  <c r="G23" i="25"/>
  <c r="G24" i="25"/>
  <c r="G25" i="25"/>
  <c r="G26" i="25"/>
  <c r="G27" i="25"/>
  <c r="G28" i="25"/>
  <c r="G29" i="25"/>
  <c r="G30" i="25"/>
  <c r="G31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50" i="25"/>
  <c r="G52" i="25"/>
  <c r="G53" i="25"/>
  <c r="G55" i="25"/>
  <c r="G56" i="25"/>
  <c r="F57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4" i="25"/>
  <c r="G75" i="25"/>
  <c r="G76" i="25"/>
  <c r="F77" i="25"/>
  <c r="G80" i="25"/>
  <c r="G81" i="25"/>
  <c r="G83" i="25"/>
  <c r="G84" i="25"/>
  <c r="G85" i="25"/>
  <c r="G87" i="25"/>
  <c r="G88" i="25"/>
  <c r="G89" i="25"/>
  <c r="G91" i="25"/>
  <c r="F92" i="25"/>
  <c r="G95" i="25"/>
  <c r="G97" i="25"/>
  <c r="G98" i="25"/>
  <c r="G100" i="25"/>
  <c r="F101" i="25"/>
  <c r="G101" i="25" s="1"/>
  <c r="G104" i="25"/>
  <c r="G105" i="25"/>
  <c r="G106" i="25"/>
  <c r="G107" i="25"/>
  <c r="G108" i="25"/>
  <c r="G109" i="25"/>
  <c r="F110" i="25"/>
  <c r="G110" i="25" s="1"/>
  <c r="G113" i="25"/>
  <c r="G114" i="25"/>
  <c r="G115" i="25"/>
  <c r="G116" i="25"/>
  <c r="G117" i="25"/>
  <c r="F118" i="25"/>
  <c r="G121" i="25"/>
  <c r="G122" i="25"/>
  <c r="G123" i="25"/>
  <c r="G125" i="25"/>
  <c r="G126" i="25"/>
  <c r="G127" i="25"/>
  <c r="G128" i="25"/>
  <c r="G129" i="25"/>
  <c r="G130" i="25"/>
  <c r="G131" i="25"/>
  <c r="G133" i="25"/>
  <c r="G134" i="25"/>
  <c r="G135" i="25"/>
  <c r="G136" i="25"/>
  <c r="G137" i="25"/>
  <c r="G138" i="25"/>
  <c r="F139" i="25"/>
  <c r="G139" i="25" s="1"/>
  <c r="G142" i="25"/>
  <c r="G143" i="25"/>
  <c r="G145" i="25"/>
  <c r="G146" i="25"/>
  <c r="F147" i="25"/>
  <c r="G147" i="25" s="1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F164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F181" i="25"/>
  <c r="G181" i="25" s="1"/>
  <c r="F198" i="25"/>
  <c r="G12" i="11"/>
  <c r="G13" i="11"/>
  <c r="G15" i="11"/>
  <c r="N16" i="11"/>
  <c r="F17" i="11"/>
  <c r="G23" i="11"/>
  <c r="G25" i="11"/>
  <c r="G28" i="11"/>
  <c r="G30" i="11"/>
  <c r="G31" i="11"/>
  <c r="G32" i="11"/>
  <c r="G33" i="11"/>
  <c r="G36" i="11"/>
  <c r="G38" i="11"/>
  <c r="G39" i="11"/>
  <c r="G41" i="11"/>
  <c r="G44" i="11"/>
  <c r="G47" i="11"/>
  <c r="G48" i="11"/>
  <c r="G49" i="11"/>
  <c r="G51" i="11"/>
  <c r="F57" i="11"/>
  <c r="G60" i="11"/>
  <c r="G61" i="11"/>
  <c r="G62" i="11"/>
  <c r="G65" i="11"/>
  <c r="G67" i="11"/>
  <c r="G68" i="11"/>
  <c r="G70" i="11"/>
  <c r="G73" i="11"/>
  <c r="G76" i="11"/>
  <c r="F77" i="11"/>
  <c r="G81" i="11"/>
  <c r="G83" i="11"/>
  <c r="G88" i="11"/>
  <c r="G89" i="11"/>
  <c r="G91" i="11"/>
  <c r="F92" i="11"/>
  <c r="G95" i="11"/>
  <c r="G96" i="11"/>
  <c r="G99" i="11"/>
  <c r="F101" i="11"/>
  <c r="G107" i="11"/>
  <c r="G108" i="11"/>
  <c r="G109" i="11"/>
  <c r="F110" i="11"/>
  <c r="G114" i="11"/>
  <c r="G117" i="11"/>
  <c r="F118" i="11"/>
  <c r="G124" i="11"/>
  <c r="G125" i="11"/>
  <c r="G128" i="11"/>
  <c r="G129" i="11"/>
  <c r="G131" i="11"/>
  <c r="G138" i="11"/>
  <c r="F139" i="11"/>
  <c r="G143" i="11"/>
  <c r="G145" i="11"/>
  <c r="F147" i="11"/>
  <c r="G153" i="11"/>
  <c r="G156" i="11"/>
  <c r="G157" i="11"/>
  <c r="G158" i="11"/>
  <c r="G161" i="11"/>
  <c r="G163" i="11"/>
  <c r="F164" i="11"/>
  <c r="G167" i="11"/>
  <c r="G169" i="11"/>
  <c r="G170" i="11"/>
  <c r="G171" i="11"/>
  <c r="G174" i="11"/>
  <c r="G177" i="11"/>
  <c r="G178" i="11"/>
  <c r="G179" i="11"/>
  <c r="F181" i="11"/>
  <c r="F198" i="11"/>
  <c r="G14" i="10"/>
  <c r="G16" i="10"/>
  <c r="N16" i="10"/>
  <c r="F17" i="10"/>
  <c r="G21" i="10"/>
  <c r="G24" i="10"/>
  <c r="G27" i="10"/>
  <c r="G28" i="10"/>
  <c r="G29" i="10"/>
  <c r="G32" i="10"/>
  <c r="G35" i="10"/>
  <c r="G37" i="10"/>
  <c r="G40" i="10"/>
  <c r="G42" i="10"/>
  <c r="G43" i="10"/>
  <c r="G45" i="10"/>
  <c r="G50" i="10"/>
  <c r="G52" i="10"/>
  <c r="G53" i="10"/>
  <c r="G54" i="10"/>
  <c r="G55" i="10"/>
  <c r="F57" i="10"/>
  <c r="G63" i="10"/>
  <c r="G64" i="10"/>
  <c r="G66" i="10"/>
  <c r="G71" i="10"/>
  <c r="G72" i="10"/>
  <c r="G74" i="10"/>
  <c r="F77" i="10"/>
  <c r="G80" i="10"/>
  <c r="G82" i="10"/>
  <c r="G84" i="10"/>
  <c r="G85" i="10"/>
  <c r="G86" i="10"/>
  <c r="G87" i="10"/>
  <c r="G90" i="10"/>
  <c r="F92" i="10"/>
  <c r="G95" i="10"/>
  <c r="G97" i="10"/>
  <c r="G98" i="10"/>
  <c r="G99" i="10"/>
  <c r="G100" i="10"/>
  <c r="F101" i="10"/>
  <c r="G105" i="10"/>
  <c r="G107" i="10"/>
  <c r="G108" i="10"/>
  <c r="F110" i="10"/>
  <c r="G113" i="10"/>
  <c r="G116" i="10"/>
  <c r="F118" i="10"/>
  <c r="G121" i="10"/>
  <c r="G123" i="10"/>
  <c r="G124" i="10"/>
  <c r="G125" i="10"/>
  <c r="G127" i="10"/>
  <c r="G130" i="10"/>
  <c r="G133" i="10"/>
  <c r="G134" i="10"/>
  <c r="G135" i="10"/>
  <c r="G136" i="10"/>
  <c r="F139" i="10"/>
  <c r="G144" i="10"/>
  <c r="G146" i="10"/>
  <c r="F147" i="10"/>
  <c r="G150" i="10"/>
  <c r="G152" i="10"/>
  <c r="G154" i="10"/>
  <c r="G157" i="10"/>
  <c r="G159" i="10"/>
  <c r="G160" i="10"/>
  <c r="G162" i="10"/>
  <c r="F164" i="10"/>
  <c r="G170" i="10"/>
  <c r="G172" i="10"/>
  <c r="G173" i="10"/>
  <c r="G175" i="10"/>
  <c r="G178" i="10"/>
  <c r="G180" i="10"/>
  <c r="F181" i="10"/>
  <c r="F198" i="10"/>
  <c r="G12" i="24"/>
  <c r="G13" i="24"/>
  <c r="G14" i="24"/>
  <c r="G15" i="24"/>
  <c r="G16" i="24"/>
  <c r="N16" i="24"/>
  <c r="F17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5" i="24"/>
  <c r="G96" i="24"/>
  <c r="G97" i="24"/>
  <c r="G98" i="24"/>
  <c r="G99" i="24"/>
  <c r="G100" i="24"/>
  <c r="G104" i="24"/>
  <c r="G105" i="24"/>
  <c r="G106" i="24"/>
  <c r="G107" i="24"/>
  <c r="G108" i="24"/>
  <c r="G109" i="24"/>
  <c r="G113" i="24"/>
  <c r="G114" i="24"/>
  <c r="G115" i="24"/>
  <c r="G116" i="24"/>
  <c r="G117" i="24"/>
  <c r="G121" i="24"/>
  <c r="G122" i="24"/>
  <c r="G123" i="24"/>
  <c r="G124" i="24"/>
  <c r="G125" i="24"/>
  <c r="G126" i="24"/>
  <c r="G127" i="24"/>
  <c r="G128" i="24"/>
  <c r="G129" i="24"/>
  <c r="G130" i="24"/>
  <c r="G131" i="24"/>
  <c r="G133" i="24"/>
  <c r="G134" i="24"/>
  <c r="G135" i="24"/>
  <c r="G136" i="24"/>
  <c r="G137" i="24"/>
  <c r="G138" i="24"/>
  <c r="G142" i="24"/>
  <c r="G143" i="24"/>
  <c r="G144" i="24"/>
  <c r="G145" i="24"/>
  <c r="G146" i="24"/>
  <c r="G147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97" i="24"/>
  <c r="F198" i="24"/>
  <c r="G12" i="23"/>
  <c r="G13" i="23"/>
  <c r="G14" i="23"/>
  <c r="G15" i="23"/>
  <c r="G16" i="23"/>
  <c r="N16" i="23"/>
  <c r="F17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F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F77" i="23"/>
  <c r="G77" i="23" s="1"/>
  <c r="G80" i="23"/>
  <c r="G81" i="23"/>
  <c r="G82" i="23"/>
  <c r="G83" i="23"/>
  <c r="G84" i="23"/>
  <c r="G85" i="23"/>
  <c r="G86" i="23"/>
  <c r="G87" i="23"/>
  <c r="G88" i="23"/>
  <c r="G89" i="23"/>
  <c r="G90" i="23"/>
  <c r="G91" i="23"/>
  <c r="F92" i="23"/>
  <c r="G95" i="23"/>
  <c r="G96" i="23"/>
  <c r="G97" i="23"/>
  <c r="G98" i="23"/>
  <c r="G99" i="23"/>
  <c r="G100" i="23"/>
  <c r="F101" i="23"/>
  <c r="G104" i="23"/>
  <c r="G105" i="23"/>
  <c r="G106" i="23"/>
  <c r="G107" i="23"/>
  <c r="G108" i="23"/>
  <c r="G109" i="23"/>
  <c r="F110" i="23"/>
  <c r="G110" i="23" s="1"/>
  <c r="G113" i="23"/>
  <c r="G114" i="23"/>
  <c r="G115" i="23"/>
  <c r="G116" i="23"/>
  <c r="G117" i="23"/>
  <c r="F118" i="23"/>
  <c r="G121" i="23"/>
  <c r="G122" i="23"/>
  <c r="G123" i="23"/>
  <c r="G124" i="23"/>
  <c r="G125" i="23"/>
  <c r="G126" i="23"/>
  <c r="G127" i="23"/>
  <c r="G128" i="23"/>
  <c r="G129" i="23"/>
  <c r="G130" i="23"/>
  <c r="G131" i="23"/>
  <c r="G133" i="23"/>
  <c r="G134" i="23"/>
  <c r="G135" i="23"/>
  <c r="G136" i="23"/>
  <c r="G137" i="23"/>
  <c r="G138" i="23"/>
  <c r="F139" i="23"/>
  <c r="G142" i="23"/>
  <c r="G143" i="23"/>
  <c r="G144" i="23"/>
  <c r="G145" i="23"/>
  <c r="G146" i="23"/>
  <c r="F147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F164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F181" i="23"/>
  <c r="G194" i="23"/>
  <c r="F198" i="23"/>
  <c r="G12" i="7"/>
  <c r="G13" i="7"/>
  <c r="G14" i="7"/>
  <c r="G15" i="7"/>
  <c r="G16" i="7"/>
  <c r="N16" i="7"/>
  <c r="F17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F57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G80" i="7"/>
  <c r="G81" i="7"/>
  <c r="G82" i="7"/>
  <c r="G83" i="7"/>
  <c r="G84" i="7"/>
  <c r="G85" i="7"/>
  <c r="G86" i="7"/>
  <c r="G87" i="7"/>
  <c r="G88" i="7"/>
  <c r="G89" i="7"/>
  <c r="G90" i="7"/>
  <c r="G91" i="7"/>
  <c r="F92" i="7"/>
  <c r="G95" i="7"/>
  <c r="G96" i="7"/>
  <c r="G97" i="7"/>
  <c r="G98" i="7"/>
  <c r="G99" i="7"/>
  <c r="G100" i="7"/>
  <c r="F101" i="7"/>
  <c r="G104" i="7"/>
  <c r="G105" i="7"/>
  <c r="G106" i="7"/>
  <c r="G107" i="7"/>
  <c r="G108" i="7"/>
  <c r="G109" i="7"/>
  <c r="F110" i="7"/>
  <c r="G113" i="7"/>
  <c r="G114" i="7"/>
  <c r="G115" i="7"/>
  <c r="G116" i="7"/>
  <c r="G117" i="7"/>
  <c r="F118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37" i="7"/>
  <c r="G138" i="7"/>
  <c r="F139" i="7"/>
  <c r="G142" i="7"/>
  <c r="G143" i="7"/>
  <c r="G144" i="7"/>
  <c r="G145" i="7"/>
  <c r="G146" i="7"/>
  <c r="F147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F164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F181" i="7"/>
  <c r="F198" i="7"/>
  <c r="G12" i="27"/>
  <c r="G13" i="27"/>
  <c r="G14" i="27"/>
  <c r="G15" i="27"/>
  <c r="G16" i="27"/>
  <c r="N16" i="27"/>
  <c r="F17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F57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F77" i="27"/>
  <c r="G77" i="27" s="1"/>
  <c r="G80" i="27"/>
  <c r="G81" i="27"/>
  <c r="G82" i="27"/>
  <c r="G83" i="27"/>
  <c r="G84" i="27"/>
  <c r="G85" i="27"/>
  <c r="G86" i="27"/>
  <c r="G87" i="27"/>
  <c r="G88" i="27"/>
  <c r="G89" i="27"/>
  <c r="G90" i="27"/>
  <c r="G91" i="27"/>
  <c r="F92" i="27"/>
  <c r="G95" i="27"/>
  <c r="G96" i="27"/>
  <c r="G97" i="27"/>
  <c r="G98" i="27"/>
  <c r="G99" i="27"/>
  <c r="G100" i="27"/>
  <c r="F101" i="27"/>
  <c r="G104" i="27"/>
  <c r="G105" i="27"/>
  <c r="G106" i="27"/>
  <c r="G107" i="27"/>
  <c r="G108" i="27"/>
  <c r="G109" i="27"/>
  <c r="F110" i="27"/>
  <c r="G113" i="27"/>
  <c r="G114" i="27"/>
  <c r="G115" i="27"/>
  <c r="G116" i="27"/>
  <c r="G117" i="27"/>
  <c r="F118" i="27"/>
  <c r="G121" i="27"/>
  <c r="G122" i="27"/>
  <c r="G123" i="27"/>
  <c r="G124" i="27"/>
  <c r="G125" i="27"/>
  <c r="G126" i="27"/>
  <c r="G127" i="27"/>
  <c r="G128" i="27"/>
  <c r="G129" i="27"/>
  <c r="G130" i="27"/>
  <c r="G131" i="27"/>
  <c r="G133" i="27"/>
  <c r="G134" i="27"/>
  <c r="G135" i="27"/>
  <c r="G136" i="27"/>
  <c r="G137" i="27"/>
  <c r="G138" i="27"/>
  <c r="F139" i="27"/>
  <c r="G142" i="27"/>
  <c r="G143" i="27"/>
  <c r="G144" i="27"/>
  <c r="G145" i="27"/>
  <c r="G146" i="27"/>
  <c r="F147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F164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F181" i="27"/>
  <c r="G181" i="27" s="1"/>
  <c r="G196" i="27"/>
  <c r="G197" i="27"/>
  <c r="F198" i="27"/>
  <c r="F206" i="27" s="1"/>
  <c r="G12" i="6"/>
  <c r="G13" i="6"/>
  <c r="G14" i="6"/>
  <c r="G15" i="6"/>
  <c r="G16" i="6"/>
  <c r="N16" i="6"/>
  <c r="F17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F57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F77" i="6"/>
  <c r="G80" i="6"/>
  <c r="G81" i="6"/>
  <c r="G82" i="6"/>
  <c r="G83" i="6"/>
  <c r="G84" i="6"/>
  <c r="G85" i="6"/>
  <c r="G86" i="6"/>
  <c r="G87" i="6"/>
  <c r="G88" i="6"/>
  <c r="G89" i="6"/>
  <c r="G90" i="6"/>
  <c r="G91" i="6"/>
  <c r="F92" i="6"/>
  <c r="G95" i="6"/>
  <c r="G96" i="6"/>
  <c r="G97" i="6"/>
  <c r="G98" i="6"/>
  <c r="G99" i="6"/>
  <c r="G100" i="6"/>
  <c r="F101" i="6"/>
  <c r="G104" i="6"/>
  <c r="G105" i="6"/>
  <c r="G106" i="6"/>
  <c r="G107" i="6"/>
  <c r="G108" i="6"/>
  <c r="G109" i="6"/>
  <c r="F110" i="6"/>
  <c r="G113" i="6"/>
  <c r="G114" i="6"/>
  <c r="G115" i="6"/>
  <c r="G116" i="6"/>
  <c r="G117" i="6"/>
  <c r="F118" i="6"/>
  <c r="G118" i="6" s="1"/>
  <c r="G121" i="6"/>
  <c r="G122" i="6"/>
  <c r="G123" i="6"/>
  <c r="G124" i="6"/>
  <c r="G125" i="6"/>
  <c r="G126" i="6"/>
  <c r="G127" i="6"/>
  <c r="G128" i="6"/>
  <c r="G129" i="6"/>
  <c r="G130" i="6"/>
  <c r="G131" i="6"/>
  <c r="G133" i="6"/>
  <c r="G134" i="6"/>
  <c r="G135" i="6"/>
  <c r="G136" i="6"/>
  <c r="G137" i="6"/>
  <c r="G138" i="6"/>
  <c r="F139" i="6"/>
  <c r="G139" i="6" s="1"/>
  <c r="G142" i="6"/>
  <c r="G143" i="6"/>
  <c r="G144" i="6"/>
  <c r="G145" i="6"/>
  <c r="G146" i="6"/>
  <c r="F147" i="6"/>
  <c r="G147" i="6" s="1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F164" i="6"/>
  <c r="G164" i="6" s="1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F181" i="6"/>
  <c r="G195" i="6"/>
  <c r="F198" i="6"/>
  <c r="G12" i="22"/>
  <c r="G13" i="22"/>
  <c r="G14" i="22"/>
  <c r="G15" i="22"/>
  <c r="G16" i="22"/>
  <c r="N16" i="22"/>
  <c r="F17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F57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F77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F92" i="22"/>
  <c r="G95" i="22"/>
  <c r="G96" i="22"/>
  <c r="G97" i="22"/>
  <c r="G98" i="22"/>
  <c r="G99" i="22"/>
  <c r="G100" i="22"/>
  <c r="F101" i="22"/>
  <c r="G104" i="22"/>
  <c r="G105" i="22"/>
  <c r="G106" i="22"/>
  <c r="G107" i="22"/>
  <c r="G108" i="22"/>
  <c r="G109" i="22"/>
  <c r="F110" i="22"/>
  <c r="G113" i="22"/>
  <c r="G114" i="22"/>
  <c r="G115" i="22"/>
  <c r="G116" i="22"/>
  <c r="G117" i="22"/>
  <c r="F118" i="22"/>
  <c r="G121" i="22"/>
  <c r="G122" i="22"/>
  <c r="G123" i="22"/>
  <c r="G124" i="22"/>
  <c r="G125" i="22"/>
  <c r="G126" i="22"/>
  <c r="G127" i="22"/>
  <c r="G128" i="22"/>
  <c r="G129" i="22"/>
  <c r="G130" i="22"/>
  <c r="G131" i="22"/>
  <c r="G133" i="22"/>
  <c r="G134" i="22"/>
  <c r="G135" i="22"/>
  <c r="G136" i="22"/>
  <c r="G137" i="22"/>
  <c r="G138" i="22"/>
  <c r="F139" i="22"/>
  <c r="G139" i="22" s="1"/>
  <c r="G142" i="22"/>
  <c r="G143" i="22"/>
  <c r="G144" i="22"/>
  <c r="G145" i="22"/>
  <c r="G146" i="22"/>
  <c r="F147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F164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F181" i="22"/>
  <c r="G181" i="22" s="1"/>
  <c r="G195" i="22"/>
  <c r="F198" i="22"/>
  <c r="G12" i="5"/>
  <c r="G13" i="5"/>
  <c r="G14" i="5"/>
  <c r="G15" i="5"/>
  <c r="G16" i="5"/>
  <c r="N16" i="5"/>
  <c r="F17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F57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F77" i="5"/>
  <c r="G80" i="5"/>
  <c r="G81" i="5"/>
  <c r="G82" i="5"/>
  <c r="G83" i="5"/>
  <c r="G84" i="5"/>
  <c r="G85" i="5"/>
  <c r="G86" i="5"/>
  <c r="G87" i="5"/>
  <c r="G88" i="5"/>
  <c r="G89" i="5"/>
  <c r="G90" i="5"/>
  <c r="G91" i="5"/>
  <c r="F92" i="5"/>
  <c r="G95" i="5"/>
  <c r="G96" i="5"/>
  <c r="G97" i="5"/>
  <c r="G98" i="5"/>
  <c r="G99" i="5"/>
  <c r="G100" i="5"/>
  <c r="F101" i="5"/>
  <c r="G104" i="5"/>
  <c r="G105" i="5"/>
  <c r="G106" i="5"/>
  <c r="G107" i="5"/>
  <c r="G108" i="5"/>
  <c r="G109" i="5"/>
  <c r="F110" i="5"/>
  <c r="G113" i="5"/>
  <c r="G114" i="5"/>
  <c r="G115" i="5"/>
  <c r="G116" i="5"/>
  <c r="G117" i="5"/>
  <c r="F118" i="5"/>
  <c r="G121" i="5"/>
  <c r="G122" i="5"/>
  <c r="G123" i="5"/>
  <c r="G124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F139" i="5"/>
  <c r="G142" i="5"/>
  <c r="G143" i="5"/>
  <c r="G144" i="5"/>
  <c r="G145" i="5"/>
  <c r="G146" i="5"/>
  <c r="F147" i="5"/>
  <c r="G147" i="5" s="1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F164" i="5"/>
  <c r="G164" i="5" s="1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F181" i="5"/>
  <c r="G197" i="5"/>
  <c r="F198" i="5"/>
  <c r="G12" i="20"/>
  <c r="G13" i="20"/>
  <c r="G14" i="20"/>
  <c r="G15" i="20"/>
  <c r="G16" i="20"/>
  <c r="N16" i="20"/>
  <c r="F17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F57" i="20"/>
  <c r="G57" i="20" s="1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F77" i="20"/>
  <c r="G77" i="20" s="1"/>
  <c r="G80" i="20"/>
  <c r="G81" i="20"/>
  <c r="G82" i="20"/>
  <c r="G83" i="20"/>
  <c r="G84" i="20"/>
  <c r="G85" i="20"/>
  <c r="G86" i="20"/>
  <c r="G87" i="20"/>
  <c r="G88" i="20"/>
  <c r="G89" i="20"/>
  <c r="G90" i="20"/>
  <c r="G91" i="20"/>
  <c r="F92" i="20"/>
  <c r="G92" i="20" s="1"/>
  <c r="G95" i="20"/>
  <c r="G96" i="20"/>
  <c r="G97" i="20"/>
  <c r="G98" i="20"/>
  <c r="G99" i="20"/>
  <c r="G100" i="20"/>
  <c r="F101" i="20"/>
  <c r="G104" i="20"/>
  <c r="G105" i="20"/>
  <c r="G106" i="20"/>
  <c r="G107" i="20"/>
  <c r="G108" i="20"/>
  <c r="G109" i="20"/>
  <c r="F110" i="20"/>
  <c r="G113" i="20"/>
  <c r="G114" i="20"/>
  <c r="G115" i="20"/>
  <c r="G116" i="20"/>
  <c r="G117" i="20"/>
  <c r="F118" i="20"/>
  <c r="G121" i="20"/>
  <c r="G122" i="20"/>
  <c r="G123" i="20"/>
  <c r="G124" i="20"/>
  <c r="G125" i="20"/>
  <c r="G126" i="20"/>
  <c r="G127" i="20"/>
  <c r="G128" i="20"/>
  <c r="G129" i="20"/>
  <c r="G130" i="20"/>
  <c r="G131" i="20"/>
  <c r="G133" i="20"/>
  <c r="G134" i="20"/>
  <c r="G135" i="20"/>
  <c r="G136" i="20"/>
  <c r="G137" i="20"/>
  <c r="G138" i="20"/>
  <c r="F139" i="20"/>
  <c r="G142" i="20"/>
  <c r="G143" i="20"/>
  <c r="G144" i="20"/>
  <c r="G145" i="20"/>
  <c r="G146" i="20"/>
  <c r="F147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F164" i="20"/>
  <c r="G164" i="20" s="1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F181" i="20"/>
  <c r="G181" i="20" s="1"/>
  <c r="G196" i="20"/>
  <c r="F198" i="20"/>
  <c r="G12" i="19"/>
  <c r="G13" i="19"/>
  <c r="G14" i="19"/>
  <c r="G15" i="19"/>
  <c r="G16" i="19"/>
  <c r="N16" i="19"/>
  <c r="F17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F57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F77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F92" i="19"/>
  <c r="G95" i="19"/>
  <c r="G96" i="19"/>
  <c r="G97" i="19"/>
  <c r="G98" i="19"/>
  <c r="G99" i="19"/>
  <c r="G100" i="19"/>
  <c r="F101" i="19"/>
  <c r="G104" i="19"/>
  <c r="G105" i="19"/>
  <c r="G106" i="19"/>
  <c r="G107" i="19"/>
  <c r="G108" i="19"/>
  <c r="G109" i="19"/>
  <c r="F110" i="19"/>
  <c r="G113" i="19"/>
  <c r="G114" i="19"/>
  <c r="G115" i="19"/>
  <c r="G116" i="19"/>
  <c r="G117" i="19"/>
  <c r="F118" i="19"/>
  <c r="G118" i="19" s="1"/>
  <c r="G121" i="19"/>
  <c r="G122" i="19"/>
  <c r="G123" i="19"/>
  <c r="G124" i="19"/>
  <c r="G125" i="19"/>
  <c r="G126" i="19"/>
  <c r="G127" i="19"/>
  <c r="G128" i="19"/>
  <c r="G129" i="19"/>
  <c r="G130" i="19"/>
  <c r="G131" i="19"/>
  <c r="G133" i="19"/>
  <c r="G134" i="19"/>
  <c r="G135" i="19"/>
  <c r="G136" i="19"/>
  <c r="G137" i="19"/>
  <c r="G138" i="19"/>
  <c r="F139" i="19"/>
  <c r="G139" i="19" s="1"/>
  <c r="G142" i="19"/>
  <c r="G143" i="19"/>
  <c r="G144" i="19"/>
  <c r="G145" i="19"/>
  <c r="G146" i="19"/>
  <c r="F147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F164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F181" i="19"/>
  <c r="G194" i="19"/>
  <c r="F198" i="19"/>
  <c r="G12" i="21"/>
  <c r="G13" i="21"/>
  <c r="G14" i="21"/>
  <c r="G15" i="21"/>
  <c r="G16" i="21"/>
  <c r="N16" i="21"/>
  <c r="E17" i="21"/>
  <c r="F17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E57" i="21"/>
  <c r="F57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E77" i="21"/>
  <c r="F77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E92" i="21"/>
  <c r="F92" i="21"/>
  <c r="G95" i="21"/>
  <c r="G96" i="21"/>
  <c r="G97" i="21"/>
  <c r="G98" i="21"/>
  <c r="G99" i="21"/>
  <c r="G100" i="21"/>
  <c r="E101" i="21"/>
  <c r="F101" i="21"/>
  <c r="G104" i="21"/>
  <c r="G105" i="21"/>
  <c r="G106" i="21"/>
  <c r="G107" i="21"/>
  <c r="G108" i="21"/>
  <c r="G109" i="21"/>
  <c r="E110" i="21"/>
  <c r="F110" i="21"/>
  <c r="G113" i="21"/>
  <c r="G114" i="21"/>
  <c r="G115" i="21"/>
  <c r="G116" i="21"/>
  <c r="G117" i="21"/>
  <c r="E118" i="21"/>
  <c r="F118" i="21"/>
  <c r="G121" i="21"/>
  <c r="G122" i="21"/>
  <c r="G123" i="21"/>
  <c r="G124" i="21"/>
  <c r="G125" i="21"/>
  <c r="G126" i="21"/>
  <c r="G127" i="21"/>
  <c r="G128" i="21"/>
  <c r="G129" i="21"/>
  <c r="G130" i="21"/>
  <c r="G131" i="21"/>
  <c r="G133" i="21"/>
  <c r="G134" i="21"/>
  <c r="G135" i="21"/>
  <c r="G136" i="21"/>
  <c r="G137" i="21"/>
  <c r="G138" i="21"/>
  <c r="E139" i="21"/>
  <c r="F139" i="21"/>
  <c r="G142" i="21"/>
  <c r="G143" i="21"/>
  <c r="G144" i="21"/>
  <c r="G145" i="21"/>
  <c r="G146" i="21"/>
  <c r="E147" i="21"/>
  <c r="F147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E164" i="21"/>
  <c r="F164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E181" i="21"/>
  <c r="F181" i="21"/>
  <c r="E194" i="21"/>
  <c r="E195" i="21"/>
  <c r="E196" i="21"/>
  <c r="E197" i="21"/>
  <c r="F198" i="21"/>
  <c r="E201" i="21"/>
  <c r="E202" i="21"/>
  <c r="F206" i="22" l="1"/>
  <c r="F208" i="27"/>
  <c r="F206" i="11"/>
  <c r="F206" i="13"/>
  <c r="G202" i="21"/>
  <c r="F206" i="20"/>
  <c r="F206" i="10"/>
  <c r="G201" i="21"/>
  <c r="F205" i="21" s="1"/>
  <c r="F206" i="21" s="1"/>
  <c r="F206" i="5"/>
  <c r="F206" i="6"/>
  <c r="F206" i="7"/>
  <c r="F206" i="25"/>
  <c r="F208" i="35"/>
  <c r="F206" i="19"/>
  <c r="F206" i="23"/>
  <c r="F206" i="24"/>
  <c r="G17" i="27"/>
  <c r="G164" i="21"/>
  <c r="F190" i="35"/>
  <c r="G139" i="21"/>
  <c r="G92" i="21"/>
  <c r="G17" i="22"/>
  <c r="G118" i="21"/>
  <c r="G203" i="6"/>
  <c r="G197" i="19"/>
  <c r="G196" i="21"/>
  <c r="G181" i="21"/>
  <c r="G92" i="19"/>
  <c r="G26" i="11"/>
  <c r="G146" i="11"/>
  <c r="G139" i="7"/>
  <c r="G43" i="13"/>
  <c r="G116" i="13"/>
  <c r="G70" i="10"/>
  <c r="G83" i="10"/>
  <c r="G91" i="10"/>
  <c r="G101" i="5"/>
  <c r="G147" i="27"/>
  <c r="G41" i="10"/>
  <c r="G90" i="11"/>
  <c r="G122" i="10"/>
  <c r="G25" i="10"/>
  <c r="G203" i="7"/>
  <c r="G197" i="7"/>
  <c r="G138" i="10"/>
  <c r="G101" i="10"/>
  <c r="G62" i="10"/>
  <c r="G172" i="11"/>
  <c r="G97" i="11"/>
  <c r="G37" i="11"/>
  <c r="G179" i="13"/>
  <c r="G163" i="13"/>
  <c r="G145" i="13"/>
  <c r="G118" i="13"/>
  <c r="G104" i="13"/>
  <c r="G90" i="13"/>
  <c r="G72" i="13"/>
  <c r="G56" i="13"/>
  <c r="G38" i="13"/>
  <c r="G21" i="13"/>
  <c r="G54" i="11"/>
  <c r="G86" i="11"/>
  <c r="G122" i="11"/>
  <c r="G126" i="11"/>
  <c r="G135" i="11"/>
  <c r="G61" i="10"/>
  <c r="G69" i="10"/>
  <c r="G142" i="10"/>
  <c r="G12" i="10"/>
  <c r="G128" i="10"/>
  <c r="G203" i="10"/>
  <c r="G22" i="11"/>
  <c r="G35" i="13"/>
  <c r="G87" i="11"/>
  <c r="G51" i="10"/>
  <c r="G147" i="21"/>
  <c r="G110" i="21"/>
  <c r="G171" i="10"/>
  <c r="G14" i="11"/>
  <c r="G82" i="11"/>
  <c r="G73" i="10"/>
  <c r="G117" i="10"/>
  <c r="G194" i="21"/>
  <c r="G179" i="10"/>
  <c r="G96" i="10"/>
  <c r="G133" i="11"/>
  <c r="G170" i="13"/>
  <c r="G57" i="11"/>
  <c r="G116" i="11"/>
  <c r="G150" i="11"/>
  <c r="G39" i="10"/>
  <c r="G57" i="19"/>
  <c r="G118" i="20"/>
  <c r="G110" i="5"/>
  <c r="G92" i="22"/>
  <c r="G197" i="6"/>
  <c r="G77" i="6"/>
  <c r="G195" i="10"/>
  <c r="G174" i="10"/>
  <c r="G161" i="10"/>
  <c r="G126" i="10"/>
  <c r="G89" i="10"/>
  <c r="G44" i="10"/>
  <c r="G142" i="11"/>
  <c r="G127" i="11"/>
  <c r="G110" i="11"/>
  <c r="G80" i="11"/>
  <c r="G66" i="11"/>
  <c r="G24" i="11"/>
  <c r="G178" i="13"/>
  <c r="G53" i="13"/>
  <c r="G29" i="13"/>
  <c r="C185" i="14"/>
  <c r="G69" i="13"/>
  <c r="G34" i="11"/>
  <c r="G56" i="10"/>
  <c r="G137" i="10"/>
  <c r="G176" i="10"/>
  <c r="G101" i="7"/>
  <c r="G27" i="13"/>
  <c r="G173" i="13"/>
  <c r="G33" i="10"/>
  <c r="G114" i="10"/>
  <c r="G145" i="10"/>
  <c r="G158" i="10"/>
  <c r="G136" i="11"/>
  <c r="G64" i="13"/>
  <c r="G131" i="10"/>
  <c r="G40" i="11"/>
  <c r="G150" i="13"/>
  <c r="G46" i="13"/>
  <c r="G27" i="11"/>
  <c r="G81" i="10"/>
  <c r="G194" i="20"/>
  <c r="G77" i="5"/>
  <c r="G164" i="24"/>
  <c r="G175" i="11"/>
  <c r="G100" i="11"/>
  <c r="G69" i="11"/>
  <c r="F183" i="11"/>
  <c r="G29" i="11"/>
  <c r="G168" i="13"/>
  <c r="G128" i="13"/>
  <c r="G109" i="13"/>
  <c r="G62" i="13"/>
  <c r="G23" i="13"/>
  <c r="G12" i="13"/>
  <c r="G73" i="13"/>
  <c r="G122" i="13"/>
  <c r="G46" i="11"/>
  <c r="G56" i="11"/>
  <c r="G75" i="11"/>
  <c r="G104" i="11"/>
  <c r="G106" i="11"/>
  <c r="G137" i="11"/>
  <c r="G168" i="11"/>
  <c r="G176" i="11"/>
  <c r="G26" i="10"/>
  <c r="G34" i="10"/>
  <c r="G115" i="10"/>
  <c r="G151" i="10"/>
  <c r="G50" i="13"/>
  <c r="G142" i="13"/>
  <c r="G157" i="13"/>
  <c r="G164" i="10"/>
  <c r="G168" i="10"/>
  <c r="G101" i="19"/>
  <c r="G147" i="10"/>
  <c r="G74" i="11"/>
  <c r="G15" i="10"/>
  <c r="G109" i="10"/>
  <c r="G123" i="11"/>
  <c r="G50" i="11"/>
  <c r="G130" i="11"/>
  <c r="G65" i="10"/>
  <c r="G101" i="20"/>
  <c r="G173" i="11"/>
  <c r="G143" i="10"/>
  <c r="G77" i="21"/>
  <c r="G196" i="19"/>
  <c r="G57" i="22"/>
  <c r="G101" i="23"/>
  <c r="G196" i="24"/>
  <c r="G177" i="10"/>
  <c r="G153" i="10"/>
  <c r="G139" i="10"/>
  <c r="G129" i="10"/>
  <c r="G36" i="10"/>
  <c r="G162" i="11"/>
  <c r="G144" i="11"/>
  <c r="G106" i="13"/>
  <c r="G91" i="13"/>
  <c r="G75" i="13"/>
  <c r="G41" i="13"/>
  <c r="G13" i="13"/>
  <c r="G60" i="13"/>
  <c r="G81" i="13"/>
  <c r="E183" i="21"/>
  <c r="G86" i="13"/>
  <c r="G126" i="13"/>
  <c r="G135" i="13"/>
  <c r="G16" i="11"/>
  <c r="G196" i="22"/>
  <c r="G57" i="27"/>
  <c r="G139" i="24"/>
  <c r="G67" i="10"/>
  <c r="G30" i="10"/>
  <c r="G31" i="13"/>
  <c r="G47" i="13"/>
  <c r="G49" i="13"/>
  <c r="G68" i="13"/>
  <c r="G76" i="13"/>
  <c r="G107" i="13"/>
  <c r="G143" i="13"/>
  <c r="G156" i="13"/>
  <c r="G167" i="13"/>
  <c r="G181" i="13"/>
  <c r="G169" i="13"/>
  <c r="G177" i="13"/>
  <c r="G181" i="5"/>
  <c r="G195" i="7"/>
  <c r="G195" i="24"/>
  <c r="G75" i="10"/>
  <c r="G152" i="11"/>
  <c r="F183" i="21"/>
  <c r="G164" i="23"/>
  <c r="G124" i="13"/>
  <c r="G161" i="13"/>
  <c r="G159" i="11"/>
  <c r="G163" i="10"/>
  <c r="G71" i="11"/>
  <c r="G37" i="13"/>
  <c r="G45" i="13"/>
  <c r="G100" i="13"/>
  <c r="G123" i="13"/>
  <c r="G47" i="10"/>
  <c r="G76" i="10"/>
  <c r="G156" i="10"/>
  <c r="F183" i="5"/>
  <c r="G118" i="27"/>
  <c r="G57" i="24"/>
  <c r="G169" i="10"/>
  <c r="G155" i="10"/>
  <c r="G49" i="10"/>
  <c r="G46" i="10"/>
  <c r="G164" i="11"/>
  <c r="G138" i="13"/>
  <c r="G129" i="13"/>
  <c r="G77" i="13"/>
  <c r="G203" i="27"/>
  <c r="G63" i="11"/>
  <c r="G147" i="11"/>
  <c r="G88" i="10"/>
  <c r="G181" i="6"/>
  <c r="G197" i="20"/>
  <c r="G195" i="5"/>
  <c r="G151" i="11"/>
  <c r="G113" i="11"/>
  <c r="G55" i="13"/>
  <c r="G127" i="13"/>
  <c r="G175" i="13"/>
  <c r="G35" i="11"/>
  <c r="G72" i="11"/>
  <c r="G31" i="10"/>
  <c r="G60" i="10"/>
  <c r="G68" i="10"/>
  <c r="G167" i="10"/>
  <c r="G181" i="10"/>
  <c r="G164" i="27"/>
  <c r="G194" i="24"/>
  <c r="G180" i="11"/>
  <c r="G53" i="11"/>
  <c r="G43" i="11"/>
  <c r="G39" i="13"/>
  <c r="G196" i="23"/>
  <c r="G65" i="13"/>
  <c r="G153" i="13"/>
  <c r="G174" i="13"/>
  <c r="G42" i="11"/>
  <c r="G52" i="11"/>
  <c r="G92" i="11"/>
  <c r="G84" i="11"/>
  <c r="G115" i="11"/>
  <c r="G104" i="10"/>
  <c r="G106" i="10"/>
  <c r="G38" i="10"/>
  <c r="F147" i="14"/>
  <c r="G66" i="13"/>
  <c r="G74" i="13"/>
  <c r="G87" i="13"/>
  <c r="G136" i="13"/>
  <c r="G21" i="11"/>
  <c r="G85" i="11"/>
  <c r="G98" i="11"/>
  <c r="G134" i="11"/>
  <c r="G160" i="11"/>
  <c r="G13" i="10"/>
  <c r="E203" i="21"/>
  <c r="E205" i="21" s="1"/>
  <c r="G139" i="20"/>
  <c r="G110" i="20"/>
  <c r="G17" i="5"/>
  <c r="G196" i="6"/>
  <c r="G195" i="27"/>
  <c r="G118" i="7"/>
  <c r="G48" i="10"/>
  <c r="G64" i="11"/>
  <c r="G197" i="25"/>
  <c r="G121" i="11"/>
  <c r="G139" i="11"/>
  <c r="G57" i="21"/>
  <c r="G17" i="20"/>
  <c r="F183" i="22"/>
  <c r="G92" i="27"/>
  <c r="G181" i="7"/>
  <c r="G110" i="7"/>
  <c r="G118" i="23"/>
  <c r="F183" i="24"/>
  <c r="G154" i="11"/>
  <c r="G61" i="13"/>
  <c r="G82" i="13"/>
  <c r="G130" i="13"/>
  <c r="G155" i="11"/>
  <c r="G22" i="10"/>
  <c r="G57" i="10"/>
  <c r="G139" i="27"/>
  <c r="G23" i="10"/>
  <c r="G105" i="11"/>
  <c r="G55" i="11"/>
  <c r="G45" i="11"/>
  <c r="G118" i="10"/>
  <c r="G147" i="19"/>
  <c r="G118" i="5"/>
  <c r="G110" i="6"/>
  <c r="G110" i="27"/>
  <c r="G147" i="7"/>
  <c r="G181" i="23"/>
  <c r="F164" i="14"/>
  <c r="F110" i="14"/>
  <c r="F92" i="14"/>
  <c r="G77" i="7"/>
  <c r="G164" i="7"/>
  <c r="F183" i="7"/>
  <c r="F139" i="14"/>
  <c r="G101" i="6"/>
  <c r="G92" i="6"/>
  <c r="F77" i="14"/>
  <c r="F57" i="14"/>
  <c r="G194" i="6"/>
  <c r="G17" i="24"/>
  <c r="G194" i="5"/>
  <c r="G92" i="23"/>
  <c r="G101" i="21"/>
  <c r="G101" i="22"/>
  <c r="G195" i="23"/>
  <c r="G77" i="24"/>
  <c r="G195" i="19"/>
  <c r="G195" i="21"/>
  <c r="G77" i="19"/>
  <c r="F183" i="19"/>
  <c r="G195" i="20"/>
  <c r="G139" i="5"/>
  <c r="G110" i="22"/>
  <c r="F183" i="25"/>
  <c r="G17" i="25"/>
  <c r="G92" i="5"/>
  <c r="G203" i="13"/>
  <c r="G181" i="19"/>
  <c r="G164" i="19"/>
  <c r="G17" i="6"/>
  <c r="F183" i="23"/>
  <c r="F183" i="10"/>
  <c r="G195" i="11"/>
  <c r="G194" i="27"/>
  <c r="G197" i="21"/>
  <c r="E198" i="21"/>
  <c r="G147" i="20"/>
  <c r="G57" i="5"/>
  <c r="G77" i="22"/>
  <c r="G196" i="7"/>
  <c r="G57" i="7"/>
  <c r="G17" i="7"/>
  <c r="G57" i="23"/>
  <c r="G110" i="24"/>
  <c r="H13" i="35"/>
  <c r="H15" i="35"/>
  <c r="H16" i="35"/>
  <c r="H14" i="35"/>
  <c r="G17" i="19"/>
  <c r="G118" i="22"/>
  <c r="G57" i="6"/>
  <c r="F183" i="6"/>
  <c r="G92" i="7"/>
  <c r="G164" i="22"/>
  <c r="F183" i="27"/>
  <c r="G139" i="23"/>
  <c r="G17" i="23"/>
  <c r="G77" i="10"/>
  <c r="G197" i="13"/>
  <c r="G17" i="21"/>
  <c r="G110" i="19"/>
  <c r="G147" i="22"/>
  <c r="G181" i="24"/>
  <c r="G101" i="24"/>
  <c r="G196" i="5"/>
  <c r="G197" i="22"/>
  <c r="G194" i="22"/>
  <c r="G101" i="27"/>
  <c r="G194" i="7"/>
  <c r="G147" i="23"/>
  <c r="G101" i="11"/>
  <c r="G196" i="25"/>
  <c r="F183" i="20"/>
  <c r="G197" i="23"/>
  <c r="G118" i="24"/>
  <c r="G196" i="10"/>
  <c r="G195" i="13"/>
  <c r="G54" i="13"/>
  <c r="G197" i="11"/>
  <c r="G164" i="25"/>
  <c r="E203" i="14"/>
  <c r="G203" i="14"/>
  <c r="G14" i="13"/>
  <c r="G24" i="13"/>
  <c r="G32" i="13"/>
  <c r="G40" i="13"/>
  <c r="G80" i="13"/>
  <c r="G92" i="13"/>
  <c r="G108" i="13"/>
  <c r="G110" i="13"/>
  <c r="G147" i="13"/>
  <c r="G144" i="13"/>
  <c r="G54" i="25"/>
  <c r="G73" i="25"/>
  <c r="G86" i="25"/>
  <c r="G99" i="25"/>
  <c r="G77" i="11"/>
  <c r="G181" i="11"/>
  <c r="F198" i="14"/>
  <c r="G28" i="13"/>
  <c r="G36" i="13"/>
  <c r="G44" i="13"/>
  <c r="G99" i="13"/>
  <c r="G14" i="25"/>
  <c r="G69" i="25"/>
  <c r="G92" i="25"/>
  <c r="G82" i="25"/>
  <c r="G90" i="25"/>
  <c r="G118" i="11"/>
  <c r="G110" i="10"/>
  <c r="G105" i="13"/>
  <c r="G121" i="13"/>
  <c r="G139" i="13"/>
  <c r="G125" i="13"/>
  <c r="G154" i="13"/>
  <c r="G162" i="13"/>
  <c r="G15" i="25"/>
  <c r="G51" i="25"/>
  <c r="G118" i="25"/>
  <c r="G101" i="13"/>
  <c r="G164" i="13"/>
  <c r="G152" i="13"/>
  <c r="G160" i="13"/>
  <c r="G13" i="25"/>
  <c r="G49" i="25"/>
  <c r="G77" i="25"/>
  <c r="F183" i="13"/>
  <c r="F101" i="14"/>
  <c r="F17" i="14"/>
  <c r="G194" i="35"/>
  <c r="G183" i="35"/>
  <c r="H12" i="35"/>
  <c r="G203" i="35"/>
  <c r="K15" i="35"/>
  <c r="H17" i="35"/>
  <c r="K12" i="35"/>
  <c r="K19" i="21"/>
  <c r="K18" i="21"/>
  <c r="K19" i="19"/>
  <c r="K18" i="19"/>
  <c r="M12" i="19"/>
  <c r="K19" i="20"/>
  <c r="K18" i="20"/>
  <c r="K15" i="20"/>
  <c r="M14" i="20"/>
  <c r="K19" i="5"/>
  <c r="K18" i="5"/>
  <c r="M15" i="5"/>
  <c r="K15" i="5"/>
  <c r="K19" i="22"/>
  <c r="K18" i="22"/>
  <c r="M13" i="22"/>
  <c r="K19" i="6"/>
  <c r="K18" i="6"/>
  <c r="M13" i="6"/>
  <c r="K19" i="27"/>
  <c r="K18" i="27"/>
  <c r="M15" i="27"/>
  <c r="M14" i="27"/>
  <c r="K19" i="7"/>
  <c r="K18" i="7"/>
  <c r="K15" i="7"/>
  <c r="K19" i="23"/>
  <c r="K18" i="23"/>
  <c r="M12" i="23"/>
  <c r="K19" i="24"/>
  <c r="K18" i="24"/>
  <c r="M15" i="24"/>
  <c r="K19" i="10"/>
  <c r="K18" i="10"/>
  <c r="K19" i="11"/>
  <c r="K18" i="11"/>
  <c r="K19" i="25"/>
  <c r="K18" i="25"/>
  <c r="K15" i="25"/>
  <c r="K19" i="13"/>
  <c r="K18" i="13"/>
  <c r="E202" i="14"/>
  <c r="C202" i="14"/>
  <c r="E201" i="14"/>
  <c r="C201" i="14"/>
  <c r="C205" i="14" s="1"/>
  <c r="C197" i="14"/>
  <c r="E196" i="14"/>
  <c r="C196" i="14"/>
  <c r="E195" i="14"/>
  <c r="D198" i="14"/>
  <c r="C195" i="14"/>
  <c r="C194" i="14"/>
  <c r="I183" i="14"/>
  <c r="I19" i="14" s="1"/>
  <c r="H183" i="14"/>
  <c r="I18" i="14" s="1"/>
  <c r="E180" i="14"/>
  <c r="D180" i="14"/>
  <c r="C180" i="14"/>
  <c r="E179" i="14"/>
  <c r="D179" i="14"/>
  <c r="C179" i="14"/>
  <c r="E178" i="14"/>
  <c r="D178" i="14"/>
  <c r="C178" i="14"/>
  <c r="E177" i="14"/>
  <c r="D177" i="14"/>
  <c r="C177" i="14"/>
  <c r="E176" i="14"/>
  <c r="D176" i="14"/>
  <c r="C176" i="14"/>
  <c r="E175" i="14"/>
  <c r="D175" i="14"/>
  <c r="C175" i="14"/>
  <c r="E174" i="14"/>
  <c r="D174" i="14"/>
  <c r="C174" i="14"/>
  <c r="E173" i="14"/>
  <c r="D173" i="14"/>
  <c r="C173" i="14"/>
  <c r="E172" i="14"/>
  <c r="D172" i="14"/>
  <c r="C172" i="14"/>
  <c r="F181" i="14"/>
  <c r="E171" i="14"/>
  <c r="D171" i="14"/>
  <c r="C171" i="14"/>
  <c r="E170" i="14"/>
  <c r="D170" i="14"/>
  <c r="C170" i="14"/>
  <c r="E169" i="14"/>
  <c r="D169" i="14"/>
  <c r="C169" i="14"/>
  <c r="E168" i="14"/>
  <c r="D168" i="14"/>
  <c r="C168" i="14"/>
  <c r="I167" i="14"/>
  <c r="H167" i="14"/>
  <c r="E167" i="14"/>
  <c r="D167" i="14"/>
  <c r="C167" i="14"/>
  <c r="E163" i="14"/>
  <c r="D163" i="14"/>
  <c r="C163" i="14"/>
  <c r="E162" i="14"/>
  <c r="D162" i="14"/>
  <c r="C162" i="14"/>
  <c r="E161" i="14"/>
  <c r="D161" i="14"/>
  <c r="C161" i="14"/>
  <c r="E160" i="14"/>
  <c r="D160" i="14"/>
  <c r="C160" i="14"/>
  <c r="E159" i="14"/>
  <c r="D159" i="14"/>
  <c r="C159" i="14"/>
  <c r="E158" i="14"/>
  <c r="D158" i="14"/>
  <c r="C158" i="14"/>
  <c r="E157" i="14"/>
  <c r="D157" i="14"/>
  <c r="C157" i="14"/>
  <c r="E156" i="14"/>
  <c r="D156" i="14"/>
  <c r="C156" i="14"/>
  <c r="E155" i="14"/>
  <c r="D155" i="14"/>
  <c r="C155" i="14"/>
  <c r="E154" i="14"/>
  <c r="D154" i="14"/>
  <c r="C154" i="14"/>
  <c r="E153" i="14"/>
  <c r="D153" i="14"/>
  <c r="C153" i="14"/>
  <c r="E152" i="14"/>
  <c r="D152" i="14"/>
  <c r="C152" i="14"/>
  <c r="E151" i="14"/>
  <c r="D151" i="14"/>
  <c r="C151" i="14"/>
  <c r="I150" i="14"/>
  <c r="H150" i="14"/>
  <c r="E150" i="14"/>
  <c r="D150" i="14"/>
  <c r="C150" i="14"/>
  <c r="E146" i="14"/>
  <c r="D146" i="14"/>
  <c r="C146" i="14"/>
  <c r="E145" i="14"/>
  <c r="D145" i="14"/>
  <c r="C145" i="14"/>
  <c r="E144" i="14"/>
  <c r="D144" i="14"/>
  <c r="C144" i="14"/>
  <c r="E143" i="14"/>
  <c r="D143" i="14"/>
  <c r="C143" i="14"/>
  <c r="I142" i="14"/>
  <c r="H142" i="14"/>
  <c r="E142" i="14"/>
  <c r="D142" i="14"/>
  <c r="C142" i="14"/>
  <c r="E138" i="14"/>
  <c r="D138" i="14"/>
  <c r="C138" i="14"/>
  <c r="E137" i="14"/>
  <c r="D137" i="14"/>
  <c r="C137" i="14"/>
  <c r="E136" i="14"/>
  <c r="D136" i="14"/>
  <c r="C136" i="14"/>
  <c r="E135" i="14"/>
  <c r="D135" i="14"/>
  <c r="C135" i="14"/>
  <c r="E134" i="14"/>
  <c r="D134" i="14"/>
  <c r="C134" i="14"/>
  <c r="E133" i="14"/>
  <c r="D133" i="14"/>
  <c r="C133" i="14"/>
  <c r="E131" i="14"/>
  <c r="D131" i="14"/>
  <c r="C131" i="14"/>
  <c r="E130" i="14"/>
  <c r="D130" i="14"/>
  <c r="C130" i="14"/>
  <c r="E129" i="14"/>
  <c r="D129" i="14"/>
  <c r="C129" i="14"/>
  <c r="E128" i="14"/>
  <c r="D128" i="14"/>
  <c r="C128" i="14"/>
  <c r="E127" i="14"/>
  <c r="D127" i="14"/>
  <c r="C127" i="14"/>
  <c r="E126" i="14"/>
  <c r="D126" i="14"/>
  <c r="C126" i="14"/>
  <c r="I125" i="14"/>
  <c r="H125" i="14"/>
  <c r="E125" i="14"/>
  <c r="D125" i="14"/>
  <c r="C125" i="14"/>
  <c r="E124" i="14"/>
  <c r="D124" i="14"/>
  <c r="C124" i="14"/>
  <c r="I123" i="14"/>
  <c r="H123" i="14"/>
  <c r="E123" i="14"/>
  <c r="D123" i="14"/>
  <c r="C123" i="14"/>
  <c r="E122" i="14"/>
  <c r="D122" i="14"/>
  <c r="C122" i="14"/>
  <c r="I121" i="14"/>
  <c r="H121" i="14"/>
  <c r="E121" i="14"/>
  <c r="D121" i="14"/>
  <c r="C121" i="14"/>
  <c r="E117" i="14"/>
  <c r="D117" i="14"/>
  <c r="C117" i="14"/>
  <c r="E116" i="14"/>
  <c r="D116" i="14"/>
  <c r="C116" i="14"/>
  <c r="E115" i="14"/>
  <c r="D115" i="14"/>
  <c r="C115" i="14"/>
  <c r="F118" i="14"/>
  <c r="E114" i="14"/>
  <c r="D114" i="14"/>
  <c r="C114" i="14"/>
  <c r="I113" i="14"/>
  <c r="H113" i="14"/>
  <c r="E113" i="14"/>
  <c r="D113" i="14"/>
  <c r="C113" i="14"/>
  <c r="E109" i="14"/>
  <c r="D109" i="14"/>
  <c r="C109" i="14"/>
  <c r="E108" i="14"/>
  <c r="D108" i="14"/>
  <c r="C108" i="14"/>
  <c r="E107" i="14"/>
  <c r="D107" i="14"/>
  <c r="C107" i="14"/>
  <c r="E106" i="14"/>
  <c r="D106" i="14"/>
  <c r="C106" i="14"/>
  <c r="E105" i="14"/>
  <c r="D105" i="14"/>
  <c r="C105" i="14"/>
  <c r="I104" i="14"/>
  <c r="H104" i="14"/>
  <c r="E104" i="14"/>
  <c r="D104" i="14"/>
  <c r="C104" i="14"/>
  <c r="E100" i="14"/>
  <c r="D100" i="14"/>
  <c r="C100" i="14"/>
  <c r="E99" i="14"/>
  <c r="D99" i="14"/>
  <c r="C99" i="14"/>
  <c r="E98" i="14"/>
  <c r="D98" i="14"/>
  <c r="C98" i="14"/>
  <c r="E97" i="14"/>
  <c r="D97" i="14"/>
  <c r="C97" i="14"/>
  <c r="E96" i="14"/>
  <c r="D96" i="14"/>
  <c r="C96" i="14"/>
  <c r="I95" i="14"/>
  <c r="H95" i="14"/>
  <c r="G95" i="14"/>
  <c r="E95" i="14"/>
  <c r="D95" i="14"/>
  <c r="C95" i="14"/>
  <c r="E91" i="14"/>
  <c r="D91" i="14"/>
  <c r="C91" i="14"/>
  <c r="E90" i="14"/>
  <c r="D90" i="14"/>
  <c r="C90" i="14"/>
  <c r="E89" i="14"/>
  <c r="D89" i="14"/>
  <c r="C89" i="14"/>
  <c r="E88" i="14"/>
  <c r="D88" i="14"/>
  <c r="C88" i="14"/>
  <c r="E87" i="14"/>
  <c r="D87" i="14"/>
  <c r="C87" i="14"/>
  <c r="E86" i="14"/>
  <c r="D86" i="14"/>
  <c r="C86" i="14"/>
  <c r="E85" i="14"/>
  <c r="D85" i="14"/>
  <c r="C85" i="14"/>
  <c r="E84" i="14"/>
  <c r="D84" i="14"/>
  <c r="C84" i="14"/>
  <c r="E83" i="14"/>
  <c r="D83" i="14"/>
  <c r="C83" i="14"/>
  <c r="E82" i="14"/>
  <c r="D82" i="14"/>
  <c r="C82" i="14"/>
  <c r="E81" i="14"/>
  <c r="D81" i="14"/>
  <c r="C81" i="14"/>
  <c r="I80" i="14"/>
  <c r="H80" i="14"/>
  <c r="E80" i="14"/>
  <c r="D80" i="14"/>
  <c r="C80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E60" i="14"/>
  <c r="D60" i="14"/>
  <c r="C60" i="14"/>
  <c r="E56" i="14"/>
  <c r="D56" i="14"/>
  <c r="C56" i="14"/>
  <c r="E55" i="14"/>
  <c r="D55" i="14"/>
  <c r="C55" i="14"/>
  <c r="E54" i="14"/>
  <c r="D54" i="14"/>
  <c r="C54" i="14"/>
  <c r="E53" i="14"/>
  <c r="D53" i="14"/>
  <c r="C53" i="14"/>
  <c r="E52" i="14"/>
  <c r="D52" i="14"/>
  <c r="C52" i="14"/>
  <c r="E51" i="14"/>
  <c r="D51" i="14"/>
  <c r="C51" i="14"/>
  <c r="E50" i="14"/>
  <c r="D50" i="14"/>
  <c r="C50" i="14"/>
  <c r="E49" i="14"/>
  <c r="D49" i="14"/>
  <c r="C49" i="14"/>
  <c r="E48" i="14"/>
  <c r="D48" i="14"/>
  <c r="C48" i="14"/>
  <c r="I47" i="14"/>
  <c r="H47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I23" i="14"/>
  <c r="H23" i="14"/>
  <c r="E23" i="14"/>
  <c r="D23" i="14"/>
  <c r="C23" i="14"/>
  <c r="I22" i="14"/>
  <c r="H22" i="14"/>
  <c r="E22" i="14"/>
  <c r="D22" i="14"/>
  <c r="C22" i="14"/>
  <c r="I21" i="14"/>
  <c r="H21" i="14"/>
  <c r="E21" i="14"/>
  <c r="D21" i="14"/>
  <c r="C21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F208" i="20" l="1"/>
  <c r="F208" i="24"/>
  <c r="F208" i="19"/>
  <c r="F208" i="25"/>
  <c r="F208" i="6"/>
  <c r="F207" i="21"/>
  <c r="F208" i="21" s="1"/>
  <c r="F208" i="10"/>
  <c r="F208" i="11"/>
  <c r="F208" i="22"/>
  <c r="F208" i="13"/>
  <c r="H14" i="27"/>
  <c r="F208" i="23"/>
  <c r="F208" i="7"/>
  <c r="F208" i="5"/>
  <c r="H15" i="27"/>
  <c r="H17" i="27"/>
  <c r="H16" i="27"/>
  <c r="H12" i="27"/>
  <c r="K12" i="27"/>
  <c r="H13" i="27"/>
  <c r="G203" i="21"/>
  <c r="H13" i="7"/>
  <c r="H12" i="21"/>
  <c r="K12" i="22"/>
  <c r="H12" i="22"/>
  <c r="H13" i="22"/>
  <c r="H17" i="22"/>
  <c r="H15" i="22"/>
  <c r="H14" i="22"/>
  <c r="H16" i="22"/>
  <c r="H16" i="6"/>
  <c r="G28" i="14"/>
  <c r="H13" i="24"/>
  <c r="F190" i="19"/>
  <c r="F190" i="5"/>
  <c r="F190" i="11"/>
  <c r="F190" i="21"/>
  <c r="H16" i="24"/>
  <c r="G161" i="14"/>
  <c r="G125" i="14"/>
  <c r="G198" i="19"/>
  <c r="G16" i="14"/>
  <c r="G81" i="14"/>
  <c r="G113" i="14"/>
  <c r="G178" i="14"/>
  <c r="G83" i="14"/>
  <c r="H12" i="24"/>
  <c r="G179" i="14"/>
  <c r="H16" i="19"/>
  <c r="M14" i="21"/>
  <c r="M13" i="24"/>
  <c r="G38" i="14"/>
  <c r="K12" i="19"/>
  <c r="G62" i="14"/>
  <c r="M12" i="21"/>
  <c r="M14" i="25"/>
  <c r="M14" i="23"/>
  <c r="M15" i="19"/>
  <c r="M15" i="6"/>
  <c r="G70" i="14"/>
  <c r="H14" i="24"/>
  <c r="G176" i="14"/>
  <c r="H15" i="24"/>
  <c r="G205" i="7"/>
  <c r="G25" i="14"/>
  <c r="G74" i="14"/>
  <c r="G157" i="14"/>
  <c r="M12" i="7"/>
  <c r="G33" i="14"/>
  <c r="G155" i="14"/>
  <c r="G143" i="14"/>
  <c r="G153" i="14"/>
  <c r="G145" i="14"/>
  <c r="M15" i="13"/>
  <c r="G44" i="14"/>
  <c r="G123" i="14"/>
  <c r="M13" i="11"/>
  <c r="G14" i="14"/>
  <c r="G116" i="14"/>
  <c r="G133" i="14"/>
  <c r="K15" i="11"/>
  <c r="G97" i="14"/>
  <c r="G168" i="14"/>
  <c r="G27" i="14"/>
  <c r="G159" i="14"/>
  <c r="G138" i="14"/>
  <c r="G91" i="14"/>
  <c r="G128" i="14"/>
  <c r="G114" i="14"/>
  <c r="G89" i="14"/>
  <c r="M14" i="10"/>
  <c r="G48" i="14"/>
  <c r="G104" i="14"/>
  <c r="K12" i="24"/>
  <c r="G205" i="35"/>
  <c r="G205" i="6"/>
  <c r="M12" i="6"/>
  <c r="M12" i="5"/>
  <c r="M14" i="5"/>
  <c r="G205" i="5"/>
  <c r="M12" i="20"/>
  <c r="G183" i="24"/>
  <c r="H116" i="24" s="1"/>
  <c r="G171" i="14"/>
  <c r="G180" i="14"/>
  <c r="G170" i="14"/>
  <c r="G172" i="14"/>
  <c r="G158" i="14"/>
  <c r="G154" i="14"/>
  <c r="G150" i="14"/>
  <c r="G136" i="14"/>
  <c r="G134" i="14"/>
  <c r="G121" i="14"/>
  <c r="G131" i="14"/>
  <c r="G117" i="14"/>
  <c r="G107" i="14"/>
  <c r="G108" i="14"/>
  <c r="G98" i="14"/>
  <c r="G96" i="14"/>
  <c r="G99" i="14"/>
  <c r="G87" i="14"/>
  <c r="G90" i="14"/>
  <c r="G63" i="14"/>
  <c r="G66" i="14"/>
  <c r="G64" i="14"/>
  <c r="G75" i="14"/>
  <c r="E190" i="21"/>
  <c r="G30" i="14"/>
  <c r="G32" i="14"/>
  <c r="G35" i="14"/>
  <c r="H13" i="23"/>
  <c r="H14" i="25"/>
  <c r="H14" i="23"/>
  <c r="H13" i="6"/>
  <c r="K12" i="6"/>
  <c r="G194" i="13"/>
  <c r="G40" i="14"/>
  <c r="G71" i="14"/>
  <c r="G109" i="14"/>
  <c r="G169" i="14"/>
  <c r="K15" i="10"/>
  <c r="K12" i="23"/>
  <c r="M13" i="27"/>
  <c r="H15" i="6"/>
  <c r="G43" i="14"/>
  <c r="K15" i="19"/>
  <c r="K15" i="21"/>
  <c r="G190" i="35"/>
  <c r="M12" i="35"/>
  <c r="G194" i="25"/>
  <c r="G50" i="14"/>
  <c r="G198" i="24"/>
  <c r="M144" i="24" s="1"/>
  <c r="H14" i="7"/>
  <c r="M13" i="23"/>
  <c r="H12" i="20"/>
  <c r="G53" i="14"/>
  <c r="G22" i="14"/>
  <c r="G26" i="14"/>
  <c r="G15" i="14"/>
  <c r="G39" i="14"/>
  <c r="G41" i="14"/>
  <c r="G54" i="14"/>
  <c r="G69" i="14"/>
  <c r="G173" i="14"/>
  <c r="G175" i="14"/>
  <c r="H12" i="6"/>
  <c r="K15" i="6"/>
  <c r="G52" i="14"/>
  <c r="M15" i="22"/>
  <c r="H12" i="19"/>
  <c r="M15" i="21"/>
  <c r="F190" i="20"/>
  <c r="H13" i="25"/>
  <c r="G197" i="10"/>
  <c r="G197" i="14" s="1"/>
  <c r="G46" i="14"/>
  <c r="G60" i="14"/>
  <c r="K15" i="22"/>
  <c r="M13" i="7"/>
  <c r="M13" i="19"/>
  <c r="M13" i="13"/>
  <c r="H14" i="19"/>
  <c r="F190" i="24"/>
  <c r="G34" i="14"/>
  <c r="G36" i="14"/>
  <c r="G51" i="14"/>
  <c r="G80" i="14"/>
  <c r="G115" i="14"/>
  <c r="G135" i="14"/>
  <c r="G137" i="14"/>
  <c r="G142" i="14"/>
  <c r="G167" i="14"/>
  <c r="E197" i="14"/>
  <c r="K15" i="13"/>
  <c r="H15" i="23"/>
  <c r="M15" i="7"/>
  <c r="M12" i="27"/>
  <c r="H14" i="6"/>
  <c r="M14" i="19"/>
  <c r="H21" i="35"/>
  <c r="F190" i="25"/>
  <c r="M12" i="22"/>
  <c r="H15" i="21"/>
  <c r="G122" i="14"/>
  <c r="G151" i="14"/>
  <c r="G205" i="19"/>
  <c r="F190" i="22"/>
  <c r="G183" i="21"/>
  <c r="H107" i="21" s="1"/>
  <c r="G29" i="14"/>
  <c r="G106" i="14"/>
  <c r="M14" i="24"/>
  <c r="H13" i="19"/>
  <c r="K15" i="23"/>
  <c r="G42" i="14"/>
  <c r="G174" i="14"/>
  <c r="G205" i="13"/>
  <c r="M13" i="10"/>
  <c r="G196" i="11"/>
  <c r="G12" i="14"/>
  <c r="G73" i="14"/>
  <c r="G82" i="14"/>
  <c r="G100" i="14"/>
  <c r="G144" i="14"/>
  <c r="G146" i="14"/>
  <c r="G162" i="14"/>
  <c r="M15" i="25"/>
  <c r="M12" i="24"/>
  <c r="H12" i="23"/>
  <c r="H16" i="23"/>
  <c r="M14" i="6"/>
  <c r="M14" i="22"/>
  <c r="H15" i="19"/>
  <c r="G56" i="14"/>
  <c r="G205" i="10"/>
  <c r="H17" i="5"/>
  <c r="H15" i="5"/>
  <c r="H12" i="5"/>
  <c r="H14" i="5"/>
  <c r="H13" i="5"/>
  <c r="H16" i="5"/>
  <c r="K12" i="5"/>
  <c r="G65" i="14"/>
  <c r="G31" i="14"/>
  <c r="G156" i="14"/>
  <c r="G76" i="14"/>
  <c r="G198" i="20"/>
  <c r="M13" i="20"/>
  <c r="G45" i="14"/>
  <c r="H17" i="20"/>
  <c r="H13" i="20"/>
  <c r="H15" i="20"/>
  <c r="K12" i="20"/>
  <c r="H14" i="20"/>
  <c r="H16" i="20"/>
  <c r="G13" i="14"/>
  <c r="G84" i="14"/>
  <c r="G183" i="27"/>
  <c r="H118" i="27" s="1"/>
  <c r="M13" i="5"/>
  <c r="G47" i="14"/>
  <c r="G163" i="14"/>
  <c r="G67" i="14"/>
  <c r="M14" i="7"/>
  <c r="G124" i="14"/>
  <c r="G85" i="14"/>
  <c r="G88" i="14"/>
  <c r="G126" i="14"/>
  <c r="G17" i="10"/>
  <c r="G203" i="11"/>
  <c r="G92" i="10"/>
  <c r="M15" i="20"/>
  <c r="G194" i="10"/>
  <c r="G55" i="14"/>
  <c r="G127" i="14"/>
  <c r="H12" i="25"/>
  <c r="H15" i="7"/>
  <c r="G24" i="14"/>
  <c r="M15" i="23"/>
  <c r="G129" i="14"/>
  <c r="G37" i="14"/>
  <c r="G205" i="20"/>
  <c r="C101" i="14"/>
  <c r="G152" i="14"/>
  <c r="K12" i="25"/>
  <c r="G21" i="14"/>
  <c r="G160" i="14"/>
  <c r="H15" i="25"/>
  <c r="G194" i="11"/>
  <c r="G49" i="14"/>
  <c r="G177" i="14"/>
  <c r="E194" i="14"/>
  <c r="H16" i="25"/>
  <c r="H16" i="7"/>
  <c r="K12" i="7"/>
  <c r="H12" i="7"/>
  <c r="G61" i="14"/>
  <c r="G23" i="14"/>
  <c r="G68" i="14"/>
  <c r="G130" i="14"/>
  <c r="G17" i="11"/>
  <c r="G72" i="14"/>
  <c r="F190" i="23"/>
  <c r="G183" i="5"/>
  <c r="H183" i="5" s="1"/>
  <c r="G195" i="25"/>
  <c r="G183" i="20"/>
  <c r="G190" i="20" s="1"/>
  <c r="F190" i="7"/>
  <c r="G183" i="7"/>
  <c r="F183" i="14"/>
  <c r="F190" i="14" s="1"/>
  <c r="E205" i="14"/>
  <c r="G57" i="13"/>
  <c r="G183" i="13" s="1"/>
  <c r="M15" i="11"/>
  <c r="G198" i="21"/>
  <c r="M13" i="21"/>
  <c r="C198" i="14"/>
  <c r="C206" i="14" s="1"/>
  <c r="H17" i="21"/>
  <c r="H14" i="21"/>
  <c r="H13" i="21"/>
  <c r="H16" i="21"/>
  <c r="K12" i="21"/>
  <c r="F190" i="13"/>
  <c r="G86" i="14"/>
  <c r="G205" i="22"/>
  <c r="G198" i="5"/>
  <c r="G183" i="6"/>
  <c r="G183" i="19"/>
  <c r="G198" i="27"/>
  <c r="H17" i="6"/>
  <c r="G198" i="7"/>
  <c r="H17" i="23"/>
  <c r="G183" i="23"/>
  <c r="G198" i="6"/>
  <c r="F190" i="10"/>
  <c r="G183" i="11"/>
  <c r="G105" i="14"/>
  <c r="G205" i="23"/>
  <c r="K15" i="24"/>
  <c r="G205" i="24"/>
  <c r="G57" i="25"/>
  <c r="G17" i="13"/>
  <c r="F190" i="6"/>
  <c r="H17" i="7"/>
  <c r="G183" i="22"/>
  <c r="H17" i="25"/>
  <c r="H17" i="24"/>
  <c r="G196" i="13"/>
  <c r="G198" i="22"/>
  <c r="H17" i="19"/>
  <c r="G205" i="25"/>
  <c r="F190" i="27"/>
  <c r="G198" i="23"/>
  <c r="H183" i="35"/>
  <c r="K13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77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92" i="35"/>
  <c r="H81" i="35"/>
  <c r="H82" i="35"/>
  <c r="H83" i="35"/>
  <c r="H84" i="35"/>
  <c r="H85" i="35"/>
  <c r="H86" i="35"/>
  <c r="H87" i="35"/>
  <c r="H88" i="35"/>
  <c r="H89" i="35"/>
  <c r="H90" i="35"/>
  <c r="H91" i="35"/>
  <c r="H101" i="35"/>
  <c r="H96" i="35"/>
  <c r="H97" i="35"/>
  <c r="H98" i="35"/>
  <c r="H99" i="35"/>
  <c r="H100" i="35"/>
  <c r="H110" i="35"/>
  <c r="H105" i="35"/>
  <c r="H106" i="35"/>
  <c r="H107" i="35"/>
  <c r="H108" i="35"/>
  <c r="H109" i="35"/>
  <c r="H118" i="35"/>
  <c r="H114" i="35"/>
  <c r="H115" i="35"/>
  <c r="H116" i="35"/>
  <c r="H117" i="35"/>
  <c r="H122" i="35"/>
  <c r="H123" i="35"/>
  <c r="H124" i="35"/>
  <c r="H125" i="35"/>
  <c r="H126" i="35"/>
  <c r="H127" i="35"/>
  <c r="H139" i="35"/>
  <c r="H128" i="35"/>
  <c r="H129" i="35"/>
  <c r="H130" i="35"/>
  <c r="H131" i="35"/>
  <c r="H133" i="35"/>
  <c r="H134" i="35"/>
  <c r="H135" i="35"/>
  <c r="H136" i="35"/>
  <c r="H137" i="35"/>
  <c r="H138" i="35"/>
  <c r="H147" i="35"/>
  <c r="H143" i="35"/>
  <c r="H144" i="35"/>
  <c r="H145" i="35"/>
  <c r="H146" i="35"/>
  <c r="H164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81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G198" i="35"/>
  <c r="H194" i="35" s="1"/>
  <c r="H57" i="35"/>
  <c r="H60" i="35"/>
  <c r="H80" i="35"/>
  <c r="H95" i="35"/>
  <c r="H104" i="35"/>
  <c r="H113" i="35"/>
  <c r="H121" i="35"/>
  <c r="H142" i="35"/>
  <c r="H150" i="35"/>
  <c r="H167" i="35"/>
  <c r="C17" i="14"/>
  <c r="D17" i="14"/>
  <c r="E17" i="14"/>
  <c r="E57" i="14"/>
  <c r="D57" i="14"/>
  <c r="C57" i="14"/>
  <c r="D77" i="14"/>
  <c r="E77" i="14"/>
  <c r="C77" i="14"/>
  <c r="C92" i="14"/>
  <c r="E92" i="14"/>
  <c r="D92" i="14"/>
  <c r="D101" i="14"/>
  <c r="E101" i="14"/>
  <c r="E110" i="14"/>
  <c r="D110" i="14"/>
  <c r="C110" i="14"/>
  <c r="C118" i="14"/>
  <c r="D118" i="14"/>
  <c r="E118" i="14"/>
  <c r="E139" i="14"/>
  <c r="C139" i="14"/>
  <c r="D139" i="14"/>
  <c r="D147" i="14"/>
  <c r="C147" i="14"/>
  <c r="E147" i="14"/>
  <c r="D164" i="14"/>
  <c r="C164" i="14"/>
  <c r="E164" i="14"/>
  <c r="E181" i="14"/>
  <c r="G181" i="14" s="1"/>
  <c r="C181" i="14"/>
  <c r="D181" i="14"/>
  <c r="C207" i="14"/>
  <c r="G205" i="21" l="1"/>
  <c r="M126" i="19"/>
  <c r="M64" i="19"/>
  <c r="M171" i="19"/>
  <c r="M180" i="19"/>
  <c r="M21" i="19"/>
  <c r="M160" i="19"/>
  <c r="M81" i="19"/>
  <c r="M169" i="19"/>
  <c r="M36" i="19"/>
  <c r="H194" i="19"/>
  <c r="M134" i="19"/>
  <c r="M147" i="19"/>
  <c r="M55" i="19"/>
  <c r="M84" i="19"/>
  <c r="M113" i="19"/>
  <c r="M22" i="19"/>
  <c r="M29" i="19"/>
  <c r="M72" i="19"/>
  <c r="M170" i="19"/>
  <c r="H197" i="19"/>
  <c r="M98" i="19"/>
  <c r="M124" i="19"/>
  <c r="M68" i="19"/>
  <c r="M23" i="19"/>
  <c r="M123" i="19"/>
  <c r="M144" i="19"/>
  <c r="M137" i="19"/>
  <c r="M74" i="19"/>
  <c r="M163" i="19"/>
  <c r="M73" i="19"/>
  <c r="H196" i="19"/>
  <c r="M150" i="19"/>
  <c r="M77" i="19"/>
  <c r="M164" i="19"/>
  <c r="M41" i="19"/>
  <c r="M175" i="19"/>
  <c r="M49" i="19"/>
  <c r="M161" i="19"/>
  <c r="M92" i="19"/>
  <c r="M25" i="19"/>
  <c r="M86" i="19"/>
  <c r="M173" i="19"/>
  <c r="M122" i="19"/>
  <c r="M35" i="19"/>
  <c r="M83" i="19"/>
  <c r="M136" i="19"/>
  <c r="M57" i="19"/>
  <c r="M105" i="19"/>
  <c r="M158" i="19"/>
  <c r="M32" i="19"/>
  <c r="M24" i="19"/>
  <c r="M177" i="19"/>
  <c r="M138" i="19"/>
  <c r="M155" i="19"/>
  <c r="M40" i="19"/>
  <c r="M76" i="19"/>
  <c r="M127" i="19"/>
  <c r="M110" i="19"/>
  <c r="M45" i="19"/>
  <c r="M62" i="19"/>
  <c r="M179" i="19"/>
  <c r="M114" i="19"/>
  <c r="M34" i="19"/>
  <c r="M96" i="19"/>
  <c r="M28" i="19"/>
  <c r="M130" i="19"/>
  <c r="M39" i="19"/>
  <c r="M87" i="19"/>
  <c r="M142" i="19"/>
  <c r="M63" i="19"/>
  <c r="M109" i="19"/>
  <c r="M162" i="19"/>
  <c r="M50" i="19"/>
  <c r="H195" i="19"/>
  <c r="M30" i="19"/>
  <c r="M61" i="19"/>
  <c r="M85" i="19"/>
  <c r="K14" i="19"/>
  <c r="M33" i="19"/>
  <c r="M82" i="19"/>
  <c r="M69" i="19"/>
  <c r="M95" i="19"/>
  <c r="M90" i="19"/>
  <c r="M70" i="19"/>
  <c r="M52" i="19"/>
  <c r="M26" i="19"/>
  <c r="M133" i="19"/>
  <c r="M48" i="19"/>
  <c r="M106" i="19"/>
  <c r="M37" i="19"/>
  <c r="M151" i="19"/>
  <c r="M43" i="19"/>
  <c r="M97" i="19"/>
  <c r="M152" i="19"/>
  <c r="M67" i="19"/>
  <c r="M121" i="19"/>
  <c r="M172" i="19"/>
  <c r="M118" i="19"/>
  <c r="M128" i="19"/>
  <c r="M181" i="19"/>
  <c r="M104" i="19"/>
  <c r="M145" i="19"/>
  <c r="M117" i="19"/>
  <c r="M38" i="19"/>
  <c r="M178" i="19"/>
  <c r="M143" i="19"/>
  <c r="M42" i="19"/>
  <c r="M27" i="19"/>
  <c r="M99" i="19"/>
  <c r="M167" i="19"/>
  <c r="M108" i="19"/>
  <c r="M66" i="19"/>
  <c r="M54" i="19"/>
  <c r="M153" i="19"/>
  <c r="M60" i="19"/>
  <c r="M116" i="19"/>
  <c r="M46" i="19"/>
  <c r="M159" i="19"/>
  <c r="M47" i="19"/>
  <c r="M101" i="19"/>
  <c r="M156" i="19"/>
  <c r="M71" i="19"/>
  <c r="M125" i="19"/>
  <c r="M176" i="19"/>
  <c r="M88" i="19"/>
  <c r="H84" i="24"/>
  <c r="M100" i="19"/>
  <c r="M17" i="19"/>
  <c r="M51" i="19"/>
  <c r="M91" i="19"/>
  <c r="M131" i="19"/>
  <c r="M174" i="19"/>
  <c r="M75" i="19"/>
  <c r="M115" i="19"/>
  <c r="M154" i="19"/>
  <c r="H198" i="19"/>
  <c r="M44" i="19"/>
  <c r="M135" i="19"/>
  <c r="M56" i="19"/>
  <c r="M139" i="19"/>
  <c r="M31" i="19"/>
  <c r="M65" i="19"/>
  <c r="M107" i="19"/>
  <c r="M146" i="19"/>
  <c r="M53" i="19"/>
  <c r="M89" i="19"/>
  <c r="M129" i="19"/>
  <c r="M168" i="19"/>
  <c r="M80" i="19"/>
  <c r="M157" i="19"/>
  <c r="H99" i="24"/>
  <c r="M44" i="24"/>
  <c r="G207" i="7"/>
  <c r="H107" i="24"/>
  <c r="H43" i="24"/>
  <c r="H46" i="24"/>
  <c r="H104" i="24"/>
  <c r="H89" i="24"/>
  <c r="H105" i="24"/>
  <c r="H108" i="24"/>
  <c r="H49" i="24"/>
  <c r="H115" i="24"/>
  <c r="H113" i="24"/>
  <c r="H125" i="24"/>
  <c r="H33" i="24"/>
  <c r="H169" i="24"/>
  <c r="H86" i="24"/>
  <c r="H31" i="24"/>
  <c r="G207" i="35"/>
  <c r="K16" i="35"/>
  <c r="H21" i="24"/>
  <c r="H152" i="24"/>
  <c r="H109" i="24"/>
  <c r="H70" i="24"/>
  <c r="H136" i="24"/>
  <c r="H150" i="24"/>
  <c r="G207" i="5"/>
  <c r="M171" i="24"/>
  <c r="M135" i="24"/>
  <c r="K16" i="7"/>
  <c r="M139" i="24"/>
  <c r="M167" i="24"/>
  <c r="M24" i="24"/>
  <c r="H194" i="24"/>
  <c r="M86" i="24"/>
  <c r="H97" i="24"/>
  <c r="H39" i="24"/>
  <c r="H36" i="24"/>
  <c r="H123" i="24"/>
  <c r="H60" i="24"/>
  <c r="H75" i="24"/>
  <c r="H134" i="24"/>
  <c r="H53" i="24"/>
  <c r="M176" i="24"/>
  <c r="H65" i="24"/>
  <c r="H98" i="24"/>
  <c r="H114" i="24"/>
  <c r="H170" i="24"/>
  <c r="H92" i="24"/>
  <c r="M88" i="24"/>
  <c r="M163" i="24"/>
  <c r="M92" i="24"/>
  <c r="H118" i="24"/>
  <c r="H168" i="24"/>
  <c r="H83" i="24"/>
  <c r="H143" i="24"/>
  <c r="H106" i="24"/>
  <c r="H32" i="24"/>
  <c r="H175" i="24"/>
  <c r="H48" i="24"/>
  <c r="G190" i="24"/>
  <c r="M118" i="24"/>
  <c r="H126" i="24"/>
  <c r="H96" i="24"/>
  <c r="H67" i="24"/>
  <c r="H122" i="24"/>
  <c r="H37" i="24"/>
  <c r="H142" i="24"/>
  <c r="G207" i="6"/>
  <c r="M48" i="24"/>
  <c r="M90" i="24"/>
  <c r="M169" i="24"/>
  <c r="H101" i="24"/>
  <c r="H178" i="24"/>
  <c r="H135" i="24"/>
  <c r="H30" i="24"/>
  <c r="H128" i="24"/>
  <c r="H138" i="24"/>
  <c r="H51" i="24"/>
  <c r="H130" i="24"/>
  <c r="H66" i="24"/>
  <c r="H144" i="24"/>
  <c r="H153" i="24"/>
  <c r="H28" i="24"/>
  <c r="H117" i="24"/>
  <c r="H42" i="24"/>
  <c r="M52" i="24"/>
  <c r="M128" i="24"/>
  <c r="M96" i="24"/>
  <c r="M173" i="24"/>
  <c r="H87" i="24"/>
  <c r="H47" i="24"/>
  <c r="H44" i="24"/>
  <c r="H145" i="24"/>
  <c r="H35" i="24"/>
  <c r="H146" i="24"/>
  <c r="H41" i="24"/>
  <c r="H155" i="24"/>
  <c r="H56" i="24"/>
  <c r="H156" i="24"/>
  <c r="H71" i="24"/>
  <c r="H160" i="24"/>
  <c r="H164" i="24"/>
  <c r="H158" i="24"/>
  <c r="H80" i="24"/>
  <c r="H57" i="24"/>
  <c r="H81" i="24"/>
  <c r="K16" i="19"/>
  <c r="M124" i="24"/>
  <c r="H26" i="24"/>
  <c r="H74" i="24"/>
  <c r="H183" i="24"/>
  <c r="M56" i="24"/>
  <c r="M133" i="24"/>
  <c r="M100" i="24"/>
  <c r="M177" i="24"/>
  <c r="M162" i="24"/>
  <c r="H69" i="24"/>
  <c r="H54" i="24"/>
  <c r="H154" i="24"/>
  <c r="H40" i="24"/>
  <c r="H162" i="24"/>
  <c r="H62" i="24"/>
  <c r="H163" i="24"/>
  <c r="H68" i="24"/>
  <c r="H173" i="24"/>
  <c r="H82" i="24"/>
  <c r="H176" i="24"/>
  <c r="H171" i="24"/>
  <c r="H64" i="24"/>
  <c r="H27" i="24"/>
  <c r="M80" i="24"/>
  <c r="M157" i="24"/>
  <c r="M126" i="24"/>
  <c r="M180" i="24"/>
  <c r="H38" i="24"/>
  <c r="H61" i="24"/>
  <c r="H161" i="24"/>
  <c r="H45" i="24"/>
  <c r="H172" i="24"/>
  <c r="H77" i="24"/>
  <c r="H34" i="24"/>
  <c r="H73" i="24"/>
  <c r="H181" i="24"/>
  <c r="H95" i="24"/>
  <c r="H131" i="24"/>
  <c r="M183" i="24"/>
  <c r="H110" i="24"/>
  <c r="H159" i="24"/>
  <c r="M84" i="24"/>
  <c r="M161" i="24"/>
  <c r="M130" i="24"/>
  <c r="M158" i="24"/>
  <c r="H22" i="24"/>
  <c r="H29" i="24"/>
  <c r="H76" i="24"/>
  <c r="K13" i="24"/>
  <c r="H50" i="24"/>
  <c r="H179" i="24"/>
  <c r="H90" i="24"/>
  <c r="H127" i="24"/>
  <c r="H91" i="24"/>
  <c r="H23" i="24"/>
  <c r="H100" i="24"/>
  <c r="H137" i="24"/>
  <c r="H124" i="24"/>
  <c r="H133" i="24"/>
  <c r="K16" i="6"/>
  <c r="K16" i="5"/>
  <c r="G101" i="14"/>
  <c r="E198" i="14"/>
  <c r="E206" i="14" s="1"/>
  <c r="G206" i="19"/>
  <c r="G207" i="19"/>
  <c r="G118" i="14"/>
  <c r="H52" i="24"/>
  <c r="H25" i="24"/>
  <c r="H121" i="24"/>
  <c r="H88" i="24"/>
  <c r="H72" i="24"/>
  <c r="H24" i="24"/>
  <c r="H85" i="24"/>
  <c r="H180" i="24"/>
  <c r="H63" i="24"/>
  <c r="H147" i="24"/>
  <c r="H55" i="24"/>
  <c r="H129" i="24"/>
  <c r="H157" i="24"/>
  <c r="H151" i="24"/>
  <c r="H177" i="24"/>
  <c r="H174" i="24"/>
  <c r="H167" i="24"/>
  <c r="H139" i="24"/>
  <c r="H139" i="21"/>
  <c r="H183" i="27"/>
  <c r="H96" i="21"/>
  <c r="H64" i="21"/>
  <c r="H65" i="21"/>
  <c r="H48" i="21"/>
  <c r="H135" i="21"/>
  <c r="H150" i="21"/>
  <c r="H80" i="21"/>
  <c r="H146" i="21"/>
  <c r="H49" i="21"/>
  <c r="H118" i="21"/>
  <c r="H125" i="21"/>
  <c r="H72" i="20"/>
  <c r="H76" i="20"/>
  <c r="H134" i="21"/>
  <c r="H124" i="21"/>
  <c r="H27" i="20"/>
  <c r="H118" i="20"/>
  <c r="H176" i="20"/>
  <c r="H91" i="20"/>
  <c r="H172" i="20"/>
  <c r="H97" i="20"/>
  <c r="H153" i="20"/>
  <c r="H105" i="20"/>
  <c r="H126" i="20"/>
  <c r="H92" i="20"/>
  <c r="H33" i="20"/>
  <c r="H38" i="20"/>
  <c r="H55" i="20"/>
  <c r="H134" i="20"/>
  <c r="H57" i="21"/>
  <c r="H100" i="21"/>
  <c r="H84" i="21"/>
  <c r="H44" i="20"/>
  <c r="H42" i="20"/>
  <c r="H61" i="20"/>
  <c r="H138" i="20"/>
  <c r="H109" i="20"/>
  <c r="H31" i="21"/>
  <c r="H63" i="21"/>
  <c r="H26" i="21"/>
  <c r="H173" i="21"/>
  <c r="H157" i="21"/>
  <c r="H52" i="20"/>
  <c r="H110" i="20"/>
  <c r="H151" i="20"/>
  <c r="H39" i="21"/>
  <c r="H71" i="21"/>
  <c r="H30" i="21"/>
  <c r="H177" i="21"/>
  <c r="H161" i="21"/>
  <c r="H57" i="20"/>
  <c r="H116" i="20"/>
  <c r="H160" i="20"/>
  <c r="H138" i="21"/>
  <c r="H60" i="21"/>
  <c r="H44" i="21"/>
  <c r="M183" i="20"/>
  <c r="H23" i="20"/>
  <c r="M15" i="14"/>
  <c r="N15" i="38" s="1"/>
  <c r="H144" i="21"/>
  <c r="H88" i="21"/>
  <c r="H21" i="21"/>
  <c r="H89" i="21"/>
  <c r="H168" i="21"/>
  <c r="H75" i="21"/>
  <c r="H154" i="21"/>
  <c r="H38" i="21"/>
  <c r="H72" i="21"/>
  <c r="H110" i="21"/>
  <c r="H151" i="21"/>
  <c r="H24" i="21"/>
  <c r="H56" i="21"/>
  <c r="H92" i="21"/>
  <c r="H133" i="21"/>
  <c r="H171" i="21"/>
  <c r="H27" i="21"/>
  <c r="H142" i="21"/>
  <c r="H113" i="21"/>
  <c r="H81" i="21"/>
  <c r="H145" i="21"/>
  <c r="G190" i="21"/>
  <c r="H99" i="21"/>
  <c r="H176" i="21"/>
  <c r="H162" i="21"/>
  <c r="H42" i="21"/>
  <c r="H116" i="21"/>
  <c r="H155" i="21"/>
  <c r="H28" i="21"/>
  <c r="H62" i="21"/>
  <c r="H98" i="21"/>
  <c r="H137" i="21"/>
  <c r="H61" i="21"/>
  <c r="H178" i="21"/>
  <c r="H152" i="21"/>
  <c r="H37" i="21"/>
  <c r="H109" i="21"/>
  <c r="H25" i="21"/>
  <c r="H95" i="21"/>
  <c r="H172" i="21"/>
  <c r="H46" i="21"/>
  <c r="H82" i="21"/>
  <c r="H122" i="21"/>
  <c r="H159" i="21"/>
  <c r="H32" i="21"/>
  <c r="H66" i="21"/>
  <c r="H104" i="21"/>
  <c r="H143" i="21"/>
  <c r="H179" i="21"/>
  <c r="H97" i="21"/>
  <c r="H35" i="21"/>
  <c r="K13" i="21"/>
  <c r="H158" i="21"/>
  <c r="H34" i="21"/>
  <c r="H106" i="21"/>
  <c r="H52" i="21"/>
  <c r="H128" i="21"/>
  <c r="H73" i="21"/>
  <c r="H85" i="21"/>
  <c r="H175" i="21"/>
  <c r="H45" i="21"/>
  <c r="H33" i="21"/>
  <c r="H180" i="21"/>
  <c r="H86" i="21"/>
  <c r="H163" i="21"/>
  <c r="H70" i="21"/>
  <c r="H108" i="21"/>
  <c r="H183" i="21"/>
  <c r="H136" i="21"/>
  <c r="H69" i="21"/>
  <c r="H67" i="21"/>
  <c r="H68" i="21"/>
  <c r="H181" i="21"/>
  <c r="H167" i="21"/>
  <c r="H101" i="21"/>
  <c r="H29" i="21"/>
  <c r="H76" i="21"/>
  <c r="H121" i="21"/>
  <c r="H105" i="21"/>
  <c r="H50" i="21"/>
  <c r="H126" i="21"/>
  <c r="H36" i="21"/>
  <c r="H147" i="21"/>
  <c r="H53" i="21"/>
  <c r="H129" i="21"/>
  <c r="H41" i="21"/>
  <c r="H115" i="21"/>
  <c r="H22" i="21"/>
  <c r="H54" i="21"/>
  <c r="H90" i="21"/>
  <c r="H130" i="21"/>
  <c r="H169" i="21"/>
  <c r="H40" i="21"/>
  <c r="H74" i="21"/>
  <c r="H114" i="21"/>
  <c r="H153" i="21"/>
  <c r="H174" i="21"/>
  <c r="G17" i="14"/>
  <c r="K13" i="14" s="1"/>
  <c r="E207" i="14"/>
  <c r="G207" i="21"/>
  <c r="E206" i="21"/>
  <c r="K16" i="21"/>
  <c r="E207" i="21"/>
  <c r="G147" i="14"/>
  <c r="G92" i="14"/>
  <c r="H181" i="5"/>
  <c r="G110" i="14"/>
  <c r="M36" i="24"/>
  <c r="M70" i="24"/>
  <c r="M108" i="24"/>
  <c r="M147" i="24"/>
  <c r="H195" i="24"/>
  <c r="M116" i="24"/>
  <c r="M155" i="24"/>
  <c r="M125" i="24"/>
  <c r="M57" i="24"/>
  <c r="G207" i="20"/>
  <c r="M14" i="11"/>
  <c r="M12" i="25"/>
  <c r="H196" i="24"/>
  <c r="H164" i="19"/>
  <c r="H13" i="10"/>
  <c r="M190" i="35"/>
  <c r="G198" i="25"/>
  <c r="G164" i="14"/>
  <c r="K16" i="13"/>
  <c r="H17" i="10"/>
  <c r="G207" i="13"/>
  <c r="G207" i="22"/>
  <c r="M40" i="24"/>
  <c r="M74" i="24"/>
  <c r="M114" i="24"/>
  <c r="M153" i="24"/>
  <c r="M82" i="24"/>
  <c r="M122" i="24"/>
  <c r="M159" i="24"/>
  <c r="H195" i="21"/>
  <c r="H24" i="20"/>
  <c r="M12" i="13"/>
  <c r="M168" i="24"/>
  <c r="M142" i="24"/>
  <c r="M123" i="24"/>
  <c r="M105" i="24"/>
  <c r="M85" i="24"/>
  <c r="M71" i="24"/>
  <c r="M60" i="24"/>
  <c r="M47" i="24"/>
  <c r="M37" i="24"/>
  <c r="M26" i="24"/>
  <c r="M160" i="24"/>
  <c r="M99" i="24"/>
  <c r="M54" i="24"/>
  <c r="M156" i="24"/>
  <c r="M97" i="24"/>
  <c r="M43" i="24"/>
  <c r="M75" i="24"/>
  <c r="H197" i="24"/>
  <c r="M164" i="24"/>
  <c r="M121" i="24"/>
  <c r="M101" i="24"/>
  <c r="M83" i="24"/>
  <c r="M69" i="24"/>
  <c r="M55" i="24"/>
  <c r="M46" i="24"/>
  <c r="M35" i="24"/>
  <c r="M25" i="24"/>
  <c r="M81" i="24"/>
  <c r="M34" i="24"/>
  <c r="M136" i="24"/>
  <c r="M77" i="24"/>
  <c r="M33" i="24"/>
  <c r="M178" i="24"/>
  <c r="M115" i="24"/>
  <c r="M65" i="24"/>
  <c r="M31" i="24"/>
  <c r="M172" i="24"/>
  <c r="M150" i="24"/>
  <c r="M129" i="24"/>
  <c r="M109" i="24"/>
  <c r="M89" i="24"/>
  <c r="M73" i="24"/>
  <c r="M63" i="24"/>
  <c r="M50" i="24"/>
  <c r="M39" i="24"/>
  <c r="M29" i="24"/>
  <c r="M138" i="24"/>
  <c r="M117" i="24"/>
  <c r="M68" i="24"/>
  <c r="M45" i="24"/>
  <c r="M67" i="24"/>
  <c r="M22" i="24"/>
  <c r="M134" i="24"/>
  <c r="M76" i="24"/>
  <c r="M42" i="24"/>
  <c r="K14" i="24"/>
  <c r="M131" i="24"/>
  <c r="M64" i="24"/>
  <c r="M41" i="24"/>
  <c r="M170" i="24"/>
  <c r="M146" i="24"/>
  <c r="M127" i="24"/>
  <c r="M107" i="24"/>
  <c r="M87" i="24"/>
  <c r="M72" i="24"/>
  <c r="M61" i="24"/>
  <c r="M49" i="24"/>
  <c r="M38" i="24"/>
  <c r="M27" i="24"/>
  <c r="M17" i="24"/>
  <c r="M23" i="24"/>
  <c r="M53" i="24"/>
  <c r="M154" i="24"/>
  <c r="M95" i="24"/>
  <c r="M21" i="24"/>
  <c r="M174" i="24"/>
  <c r="M152" i="24"/>
  <c r="M113" i="24"/>
  <c r="M91" i="24"/>
  <c r="M51" i="24"/>
  <c r="M30" i="24"/>
  <c r="G190" i="23"/>
  <c r="M28" i="24"/>
  <c r="M62" i="24"/>
  <c r="M98" i="24"/>
  <c r="M137" i="24"/>
  <c r="M175" i="24"/>
  <c r="M106" i="24"/>
  <c r="M145" i="24"/>
  <c r="M181" i="24"/>
  <c r="G198" i="11"/>
  <c r="G57" i="14"/>
  <c r="K16" i="10"/>
  <c r="H127" i="21"/>
  <c r="H51" i="21"/>
  <c r="H91" i="21"/>
  <c r="H123" i="21"/>
  <c r="H47" i="21"/>
  <c r="H117" i="21"/>
  <c r="H170" i="21"/>
  <c r="H156" i="21"/>
  <c r="H43" i="21"/>
  <c r="H23" i="21"/>
  <c r="H87" i="21"/>
  <c r="H83" i="21"/>
  <c r="H131" i="21"/>
  <c r="H55" i="21"/>
  <c r="H164" i="21"/>
  <c r="H160" i="21"/>
  <c r="H164" i="27"/>
  <c r="G206" i="24"/>
  <c r="M57" i="6"/>
  <c r="G77" i="14"/>
  <c r="H108" i="13"/>
  <c r="M32" i="24"/>
  <c r="M66" i="24"/>
  <c r="M104" i="24"/>
  <c r="M143" i="24"/>
  <c r="M179" i="24"/>
  <c r="M110" i="24"/>
  <c r="M151" i="24"/>
  <c r="H198" i="24"/>
  <c r="H99" i="7"/>
  <c r="H139" i="5"/>
  <c r="G139" i="14"/>
  <c r="M15" i="10"/>
  <c r="H77" i="21"/>
  <c r="H194" i="20"/>
  <c r="M168" i="20"/>
  <c r="M160" i="20"/>
  <c r="M154" i="20"/>
  <c r="M145" i="20"/>
  <c r="M136" i="20"/>
  <c r="M128" i="20"/>
  <c r="M122" i="20"/>
  <c r="M104" i="20"/>
  <c r="M96" i="20"/>
  <c r="M87" i="20"/>
  <c r="M72" i="20"/>
  <c r="M65" i="20"/>
  <c r="M56" i="20"/>
  <c r="M49" i="20"/>
  <c r="M43" i="20"/>
  <c r="M36" i="20"/>
  <c r="M29" i="20"/>
  <c r="M22" i="20"/>
  <c r="M181" i="20"/>
  <c r="M174" i="20"/>
  <c r="M167" i="20"/>
  <c r="M159" i="20"/>
  <c r="M153" i="20"/>
  <c r="M144" i="20"/>
  <c r="M135" i="20"/>
  <c r="M127" i="20"/>
  <c r="M121" i="20"/>
  <c r="M113" i="20"/>
  <c r="M95" i="20"/>
  <c r="M86" i="20"/>
  <c r="M80" i="20"/>
  <c r="M71" i="20"/>
  <c r="M64" i="20"/>
  <c r="M55" i="20"/>
  <c r="M48" i="20"/>
  <c r="M42" i="20"/>
  <c r="M35" i="20"/>
  <c r="M21" i="20"/>
  <c r="M180" i="20"/>
  <c r="M173" i="20"/>
  <c r="M164" i="20"/>
  <c r="M158" i="20"/>
  <c r="M152" i="20"/>
  <c r="M143" i="20"/>
  <c r="M134" i="20"/>
  <c r="M101" i="20"/>
  <c r="M92" i="20"/>
  <c r="M85" i="20"/>
  <c r="M77" i="20"/>
  <c r="M70" i="20"/>
  <c r="M63" i="20"/>
  <c r="M54" i="20"/>
  <c r="M41" i="20"/>
  <c r="M34" i="20"/>
  <c r="M28" i="20"/>
  <c r="M170" i="20"/>
  <c r="M157" i="20"/>
  <c r="M147" i="20"/>
  <c r="M131" i="20"/>
  <c r="M123" i="20"/>
  <c r="M107" i="20"/>
  <c r="M91" i="20"/>
  <c r="M82" i="20"/>
  <c r="M68" i="20"/>
  <c r="M57" i="20"/>
  <c r="M45" i="20"/>
  <c r="M33" i="20"/>
  <c r="M24" i="20"/>
  <c r="M179" i="20"/>
  <c r="M169" i="20"/>
  <c r="M146" i="20"/>
  <c r="M130" i="20"/>
  <c r="M118" i="20"/>
  <c r="M106" i="20"/>
  <c r="M90" i="20"/>
  <c r="M81" i="20"/>
  <c r="M67" i="20"/>
  <c r="M53" i="20"/>
  <c r="M32" i="20"/>
  <c r="M23" i="20"/>
  <c r="K14" i="20"/>
  <c r="M178" i="20"/>
  <c r="M156" i="20"/>
  <c r="M142" i="20"/>
  <c r="M117" i="20"/>
  <c r="M105" i="20"/>
  <c r="M89" i="20"/>
  <c r="M76" i="20"/>
  <c r="M66" i="20"/>
  <c r="M44" i="20"/>
  <c r="M177" i="20"/>
  <c r="M155" i="20"/>
  <c r="M129" i="20"/>
  <c r="M116" i="20"/>
  <c r="M100" i="20"/>
  <c r="M75" i="20"/>
  <c r="M52" i="20"/>
  <c r="M40" i="20"/>
  <c r="M31" i="20"/>
  <c r="M133" i="20"/>
  <c r="M108" i="20"/>
  <c r="M83" i="20"/>
  <c r="M60" i="20"/>
  <c r="M37" i="20"/>
  <c r="M69" i="20"/>
  <c r="M163" i="20"/>
  <c r="M88" i="20"/>
  <c r="M176" i="20"/>
  <c r="M126" i="20"/>
  <c r="M99" i="20"/>
  <c r="M74" i="20"/>
  <c r="M51" i="20"/>
  <c r="M30" i="20"/>
  <c r="M171" i="20"/>
  <c r="M46" i="20"/>
  <c r="M138" i="20"/>
  <c r="M175" i="20"/>
  <c r="M125" i="20"/>
  <c r="M50" i="20"/>
  <c r="M27" i="20"/>
  <c r="M97" i="20"/>
  <c r="M115" i="20"/>
  <c r="M172" i="20"/>
  <c r="M151" i="20"/>
  <c r="M124" i="20"/>
  <c r="M98" i="20"/>
  <c r="M73" i="20"/>
  <c r="M47" i="20"/>
  <c r="M26" i="20"/>
  <c r="M150" i="20"/>
  <c r="M25" i="20"/>
  <c r="M84" i="20"/>
  <c r="M114" i="20"/>
  <c r="M109" i="20"/>
  <c r="M162" i="20"/>
  <c r="M62" i="20"/>
  <c r="M161" i="20"/>
  <c r="M61" i="20"/>
  <c r="M137" i="20"/>
  <c r="M39" i="20"/>
  <c r="M38" i="20"/>
  <c r="H146" i="20"/>
  <c r="H82" i="20"/>
  <c r="H65" i="20"/>
  <c r="H136" i="20"/>
  <c r="H71" i="20"/>
  <c r="H197" i="20"/>
  <c r="H135" i="20"/>
  <c r="H131" i="20"/>
  <c r="H147" i="20"/>
  <c r="M13" i="25"/>
  <c r="G206" i="20"/>
  <c r="H67" i="20"/>
  <c r="H142" i="20"/>
  <c r="H88" i="20"/>
  <c r="H22" i="20"/>
  <c r="H54" i="20"/>
  <c r="H90" i="20"/>
  <c r="H143" i="20"/>
  <c r="H39" i="20"/>
  <c r="H73" i="20"/>
  <c r="H113" i="20"/>
  <c r="H145" i="20"/>
  <c r="H163" i="20"/>
  <c r="H154" i="20"/>
  <c r="H37" i="20"/>
  <c r="H118" i="5"/>
  <c r="H17" i="11"/>
  <c r="H14" i="11"/>
  <c r="H13" i="11"/>
  <c r="H16" i="11"/>
  <c r="K12" i="11"/>
  <c r="H12" i="11"/>
  <c r="H15" i="11"/>
  <c r="H46" i="20"/>
  <c r="H171" i="20"/>
  <c r="M12" i="11"/>
  <c r="G205" i="11"/>
  <c r="H198" i="20"/>
  <c r="H178" i="20"/>
  <c r="H35" i="20"/>
  <c r="H150" i="20"/>
  <c r="H56" i="20"/>
  <c r="H80" i="20"/>
  <c r="H25" i="20"/>
  <c r="H95" i="20"/>
  <c r="H26" i="20"/>
  <c r="H60" i="20"/>
  <c r="H96" i="20"/>
  <c r="H159" i="20"/>
  <c r="H43" i="20"/>
  <c r="H77" i="20"/>
  <c r="H117" i="20"/>
  <c r="H156" i="20"/>
  <c r="H174" i="20"/>
  <c r="H158" i="20"/>
  <c r="M110" i="20"/>
  <c r="G190" i="27"/>
  <c r="H180" i="27"/>
  <c r="H172" i="27"/>
  <c r="H162" i="27"/>
  <c r="H154" i="27"/>
  <c r="H144" i="27"/>
  <c r="H134" i="27"/>
  <c r="H125" i="27"/>
  <c r="H115" i="27"/>
  <c r="H105" i="27"/>
  <c r="H95" i="27"/>
  <c r="H85" i="27"/>
  <c r="H75" i="27"/>
  <c r="H67" i="27"/>
  <c r="H57" i="27"/>
  <c r="H49" i="27"/>
  <c r="H41" i="27"/>
  <c r="H33" i="27"/>
  <c r="H25" i="27"/>
  <c r="H178" i="27"/>
  <c r="H170" i="27"/>
  <c r="H160" i="27"/>
  <c r="H152" i="27"/>
  <c r="H142" i="27"/>
  <c r="H131" i="27"/>
  <c r="H123" i="27"/>
  <c r="H113" i="27"/>
  <c r="H101" i="27"/>
  <c r="H91" i="27"/>
  <c r="H83" i="27"/>
  <c r="H73" i="27"/>
  <c r="H65" i="27"/>
  <c r="H55" i="27"/>
  <c r="H47" i="27"/>
  <c r="H39" i="27"/>
  <c r="H31" i="27"/>
  <c r="H23" i="27"/>
  <c r="H181" i="27"/>
  <c r="H169" i="27"/>
  <c r="H157" i="27"/>
  <c r="H145" i="27"/>
  <c r="H130" i="27"/>
  <c r="H106" i="27"/>
  <c r="H90" i="27"/>
  <c r="H80" i="27"/>
  <c r="H68" i="27"/>
  <c r="H54" i="27"/>
  <c r="H44" i="27"/>
  <c r="H34" i="27"/>
  <c r="H22" i="27"/>
  <c r="H179" i="27"/>
  <c r="H168" i="27"/>
  <c r="H156" i="27"/>
  <c r="H143" i="27"/>
  <c r="H129" i="27"/>
  <c r="H117" i="27"/>
  <c r="H104" i="27"/>
  <c r="H89" i="27"/>
  <c r="H77" i="27"/>
  <c r="H66" i="27"/>
  <c r="H53" i="27"/>
  <c r="H43" i="27"/>
  <c r="H32" i="27"/>
  <c r="H21" i="27"/>
  <c r="H177" i="27"/>
  <c r="H167" i="27"/>
  <c r="H155" i="27"/>
  <c r="H139" i="27"/>
  <c r="H128" i="27"/>
  <c r="H116" i="27"/>
  <c r="H100" i="27"/>
  <c r="H88" i="27"/>
  <c r="H76" i="27"/>
  <c r="H64" i="27"/>
  <c r="H52" i="27"/>
  <c r="H42" i="27"/>
  <c r="H30" i="27"/>
  <c r="H147" i="27"/>
  <c r="H126" i="27"/>
  <c r="H107" i="27"/>
  <c r="H84" i="27"/>
  <c r="H63" i="27"/>
  <c r="H46" i="27"/>
  <c r="H28" i="27"/>
  <c r="H153" i="27"/>
  <c r="H71" i="27"/>
  <c r="K13" i="27"/>
  <c r="H163" i="27"/>
  <c r="H146" i="27"/>
  <c r="H124" i="27"/>
  <c r="H99" i="27"/>
  <c r="H82" i="27"/>
  <c r="H62" i="27"/>
  <c r="H45" i="27"/>
  <c r="H27" i="27"/>
  <c r="H158" i="27"/>
  <c r="H96" i="27"/>
  <c r="H72" i="27"/>
  <c r="H135" i="27"/>
  <c r="H161" i="27"/>
  <c r="H138" i="27"/>
  <c r="H122" i="27"/>
  <c r="H98" i="27"/>
  <c r="H81" i="27"/>
  <c r="H61" i="27"/>
  <c r="H40" i="27"/>
  <c r="H26" i="27"/>
  <c r="H175" i="27"/>
  <c r="H114" i="27"/>
  <c r="H37" i="27"/>
  <c r="H174" i="27"/>
  <c r="H92" i="27"/>
  <c r="H176" i="27"/>
  <c r="H159" i="27"/>
  <c r="H137" i="27"/>
  <c r="H121" i="27"/>
  <c r="H97" i="27"/>
  <c r="H74" i="27"/>
  <c r="H60" i="27"/>
  <c r="H38" i="27"/>
  <c r="H24" i="27"/>
  <c r="H136" i="27"/>
  <c r="H56" i="27"/>
  <c r="H110" i="27"/>
  <c r="H51" i="27"/>
  <c r="H127" i="27"/>
  <c r="H48" i="27"/>
  <c r="H50" i="27"/>
  <c r="H109" i="27"/>
  <c r="H36" i="27"/>
  <c r="H151" i="27"/>
  <c r="H150" i="27"/>
  <c r="H108" i="27"/>
  <c r="H35" i="27"/>
  <c r="H69" i="27"/>
  <c r="H173" i="27"/>
  <c r="H87" i="27"/>
  <c r="H29" i="27"/>
  <c r="H171" i="27"/>
  <c r="H86" i="27"/>
  <c r="H70" i="27"/>
  <c r="H133" i="27"/>
  <c r="G195" i="14"/>
  <c r="M13" i="14" s="1"/>
  <c r="N13" i="38" s="1"/>
  <c r="G190" i="5"/>
  <c r="H177" i="20"/>
  <c r="H175" i="20"/>
  <c r="H114" i="20"/>
  <c r="H81" i="20"/>
  <c r="H104" i="20"/>
  <c r="H29" i="20"/>
  <c r="H127" i="20"/>
  <c r="H121" i="20"/>
  <c r="H48" i="20"/>
  <c r="H21" i="20"/>
  <c r="H157" i="20"/>
  <c r="H45" i="20"/>
  <c r="H169" i="20"/>
  <c r="H130" i="20"/>
  <c r="H53" i="20"/>
  <c r="H32" i="20"/>
  <c r="H164" i="20"/>
  <c r="H89" i="20"/>
  <c r="H66" i="20"/>
  <c r="H161" i="20"/>
  <c r="H155" i="20"/>
  <c r="H124" i="20"/>
  <c r="K13" i="20"/>
  <c r="H40" i="20"/>
  <c r="H152" i="20"/>
  <c r="H99" i="20"/>
  <c r="H74" i="20"/>
  <c r="H63" i="20"/>
  <c r="H84" i="20"/>
  <c r="H137" i="20"/>
  <c r="H196" i="20"/>
  <c r="H70" i="20"/>
  <c r="H122" i="20"/>
  <c r="H101" i="20"/>
  <c r="H180" i="20"/>
  <c r="H62" i="20"/>
  <c r="H50" i="20"/>
  <c r="H69" i="20"/>
  <c r="H128" i="20"/>
  <c r="M139" i="20"/>
  <c r="H85" i="20"/>
  <c r="H36" i="20"/>
  <c r="H108" i="20"/>
  <c r="H30" i="20"/>
  <c r="H64" i="20"/>
  <c r="H100" i="20"/>
  <c r="H170" i="20"/>
  <c r="H47" i="20"/>
  <c r="H83" i="20"/>
  <c r="H123" i="20"/>
  <c r="H167" i="20"/>
  <c r="H125" i="20"/>
  <c r="H162" i="20"/>
  <c r="H32" i="13"/>
  <c r="K16" i="20"/>
  <c r="H15" i="10"/>
  <c r="H16" i="10"/>
  <c r="H14" i="10"/>
  <c r="K12" i="10"/>
  <c r="H12" i="10"/>
  <c r="M17" i="20"/>
  <c r="G202" i="14"/>
  <c r="H49" i="20"/>
  <c r="H173" i="20"/>
  <c r="H31" i="20"/>
  <c r="H144" i="20"/>
  <c r="G207" i="10"/>
  <c r="M12" i="10"/>
  <c r="G194" i="14"/>
  <c r="M12" i="14" s="1"/>
  <c r="N12" i="38" s="1"/>
  <c r="G198" i="10"/>
  <c r="H75" i="20"/>
  <c r="H86" i="20"/>
  <c r="H107" i="20"/>
  <c r="H183" i="20"/>
  <c r="H28" i="13"/>
  <c r="H28" i="20"/>
  <c r="H98" i="20"/>
  <c r="H41" i="20"/>
  <c r="H115" i="20"/>
  <c r="H34" i="20"/>
  <c r="H68" i="20"/>
  <c r="H106" i="20"/>
  <c r="H179" i="20"/>
  <c r="H51" i="20"/>
  <c r="H87" i="20"/>
  <c r="H133" i="20"/>
  <c r="H181" i="20"/>
  <c r="H129" i="20"/>
  <c r="H168" i="20"/>
  <c r="H139" i="20"/>
  <c r="H177" i="5"/>
  <c r="H169" i="5"/>
  <c r="H159" i="5"/>
  <c r="H151" i="5"/>
  <c r="H130" i="5"/>
  <c r="H122" i="5"/>
  <c r="H110" i="5"/>
  <c r="H100" i="5"/>
  <c r="H90" i="5"/>
  <c r="H82" i="5"/>
  <c r="H72" i="5"/>
  <c r="H64" i="5"/>
  <c r="H54" i="5"/>
  <c r="H46" i="5"/>
  <c r="H38" i="5"/>
  <c r="H30" i="5"/>
  <c r="H22" i="5"/>
  <c r="H176" i="5"/>
  <c r="H168" i="5"/>
  <c r="H158" i="5"/>
  <c r="H150" i="5"/>
  <c r="H138" i="5"/>
  <c r="H129" i="5"/>
  <c r="H121" i="5"/>
  <c r="H109" i="5"/>
  <c r="H99" i="5"/>
  <c r="H89" i="5"/>
  <c r="H81" i="5"/>
  <c r="H71" i="5"/>
  <c r="H63" i="5"/>
  <c r="H53" i="5"/>
  <c r="H45" i="5"/>
  <c r="H37" i="5"/>
  <c r="H29" i="5"/>
  <c r="H21" i="5"/>
  <c r="H175" i="5"/>
  <c r="H167" i="5"/>
  <c r="H157" i="5"/>
  <c r="H147" i="5"/>
  <c r="H137" i="5"/>
  <c r="H128" i="5"/>
  <c r="H108" i="5"/>
  <c r="H98" i="5"/>
  <c r="H88" i="5"/>
  <c r="H80" i="5"/>
  <c r="H70" i="5"/>
  <c r="H62" i="5"/>
  <c r="H52" i="5"/>
  <c r="H44" i="5"/>
  <c r="H36" i="5"/>
  <c r="H28" i="5"/>
  <c r="H180" i="5"/>
  <c r="H164" i="5"/>
  <c r="H153" i="5"/>
  <c r="H135" i="5"/>
  <c r="H123" i="5"/>
  <c r="H105" i="5"/>
  <c r="H87" i="5"/>
  <c r="H74" i="5"/>
  <c r="H60" i="5"/>
  <c r="H179" i="5"/>
  <c r="H163" i="5"/>
  <c r="H152" i="5"/>
  <c r="H134" i="5"/>
  <c r="H117" i="5"/>
  <c r="H104" i="5"/>
  <c r="H86" i="5"/>
  <c r="H73" i="5"/>
  <c r="H57" i="5"/>
  <c r="H43" i="5"/>
  <c r="H32" i="5"/>
  <c r="H178" i="5"/>
  <c r="H162" i="5"/>
  <c r="H146" i="5"/>
  <c r="H133" i="5"/>
  <c r="H116" i="5"/>
  <c r="H101" i="5"/>
  <c r="H85" i="5"/>
  <c r="H69" i="5"/>
  <c r="H56" i="5"/>
  <c r="H42" i="5"/>
  <c r="H31" i="5"/>
  <c r="H174" i="5"/>
  <c r="H161" i="5"/>
  <c r="H145" i="5"/>
  <c r="H131" i="5"/>
  <c r="H115" i="5"/>
  <c r="H97" i="5"/>
  <c r="H84" i="5"/>
  <c r="H68" i="5"/>
  <c r="H55" i="5"/>
  <c r="H41" i="5"/>
  <c r="H27" i="5"/>
  <c r="H173" i="5"/>
  <c r="H144" i="5"/>
  <c r="H114" i="5"/>
  <c r="H83" i="5"/>
  <c r="H51" i="5"/>
  <c r="H34" i="5"/>
  <c r="H126" i="5"/>
  <c r="H23" i="5"/>
  <c r="H172" i="5"/>
  <c r="H143" i="5"/>
  <c r="H113" i="5"/>
  <c r="H77" i="5"/>
  <c r="H50" i="5"/>
  <c r="H33" i="5"/>
  <c r="H127" i="5"/>
  <c r="H67" i="5"/>
  <c r="H95" i="5"/>
  <c r="K13" i="5"/>
  <c r="H171" i="5"/>
  <c r="H142" i="5"/>
  <c r="H107" i="5"/>
  <c r="H76" i="5"/>
  <c r="H49" i="5"/>
  <c r="H26" i="5"/>
  <c r="H160" i="5"/>
  <c r="H47" i="5"/>
  <c r="H156" i="5"/>
  <c r="H40" i="5"/>
  <c r="H170" i="5"/>
  <c r="H136" i="5"/>
  <c r="H106" i="5"/>
  <c r="H75" i="5"/>
  <c r="H48" i="5"/>
  <c r="H25" i="5"/>
  <c r="H96" i="5"/>
  <c r="H24" i="5"/>
  <c r="H66" i="5"/>
  <c r="H125" i="5"/>
  <c r="H124" i="5"/>
  <c r="H39" i="5"/>
  <c r="H35" i="5"/>
  <c r="H92" i="5"/>
  <c r="H154" i="5"/>
  <c r="H91" i="5"/>
  <c r="H65" i="5"/>
  <c r="H61" i="5"/>
  <c r="H155" i="5"/>
  <c r="G183" i="10"/>
  <c r="H195" i="20"/>
  <c r="H88" i="7"/>
  <c r="H37" i="7"/>
  <c r="H128" i="7"/>
  <c r="H97" i="7"/>
  <c r="H80" i="7"/>
  <c r="H125" i="7"/>
  <c r="H26" i="7"/>
  <c r="H145" i="7"/>
  <c r="H180" i="7"/>
  <c r="H30" i="7"/>
  <c r="H35" i="7"/>
  <c r="H161" i="7"/>
  <c r="H164" i="7"/>
  <c r="H89" i="7"/>
  <c r="H98" i="7"/>
  <c r="H172" i="7"/>
  <c r="H41" i="7"/>
  <c r="H171" i="7"/>
  <c r="H61" i="7"/>
  <c r="H68" i="7"/>
  <c r="H177" i="7"/>
  <c r="H24" i="7"/>
  <c r="H81" i="7"/>
  <c r="H129" i="7"/>
  <c r="H76" i="7"/>
  <c r="H91" i="7"/>
  <c r="H108" i="7"/>
  <c r="H23" i="7"/>
  <c r="H142" i="7"/>
  <c r="H38" i="7"/>
  <c r="H116" i="7"/>
  <c r="H110" i="7"/>
  <c r="H168" i="7"/>
  <c r="H45" i="7"/>
  <c r="H100" i="7"/>
  <c r="H36" i="7"/>
  <c r="H87" i="7"/>
  <c r="H107" i="7"/>
  <c r="H49" i="7"/>
  <c r="H179" i="7"/>
  <c r="H25" i="7"/>
  <c r="H72" i="7"/>
  <c r="H122" i="7"/>
  <c r="H22" i="7"/>
  <c r="G190" i="7"/>
  <c r="H92" i="7"/>
  <c r="H55" i="7"/>
  <c r="H181" i="7"/>
  <c r="H60" i="7"/>
  <c r="H154" i="7"/>
  <c r="H150" i="7"/>
  <c r="H117" i="7"/>
  <c r="H65" i="7"/>
  <c r="H163" i="7"/>
  <c r="H146" i="7"/>
  <c r="H162" i="7"/>
  <c r="H133" i="7"/>
  <c r="H67" i="7"/>
  <c r="H43" i="7"/>
  <c r="H130" i="7"/>
  <c r="H159" i="7"/>
  <c r="H47" i="7"/>
  <c r="H131" i="7"/>
  <c r="H74" i="7"/>
  <c r="H82" i="7"/>
  <c r="H73" i="7"/>
  <c r="H104" i="7"/>
  <c r="H69" i="7"/>
  <c r="H167" i="7"/>
  <c r="H48" i="7"/>
  <c r="H57" i="7"/>
  <c r="H64" i="7"/>
  <c r="H152" i="7"/>
  <c r="H40" i="7"/>
  <c r="H86" i="7"/>
  <c r="H109" i="7"/>
  <c r="H101" i="7"/>
  <c r="H96" i="7"/>
  <c r="H155" i="7"/>
  <c r="H135" i="7"/>
  <c r="H113" i="7"/>
  <c r="H153" i="7"/>
  <c r="H33" i="7"/>
  <c r="H134" i="7"/>
  <c r="H121" i="7"/>
  <c r="H50" i="7"/>
  <c r="H27" i="7"/>
  <c r="H56" i="7"/>
  <c r="H66" i="7"/>
  <c r="H174" i="7"/>
  <c r="H77" i="7"/>
  <c r="H178" i="7"/>
  <c r="H147" i="7"/>
  <c r="H95" i="7"/>
  <c r="H136" i="7"/>
  <c r="H106" i="7"/>
  <c r="H124" i="7"/>
  <c r="H71" i="7"/>
  <c r="H173" i="7"/>
  <c r="H42" i="7"/>
  <c r="H21" i="7"/>
  <c r="H170" i="7"/>
  <c r="H32" i="7"/>
  <c r="H83" i="7"/>
  <c r="H84" i="7"/>
  <c r="H118" i="7"/>
  <c r="H137" i="7"/>
  <c r="H46" i="7"/>
  <c r="H54" i="7"/>
  <c r="H63" i="7"/>
  <c r="H44" i="7"/>
  <c r="H90" i="7"/>
  <c r="H34" i="7"/>
  <c r="H144" i="7"/>
  <c r="H31" i="7"/>
  <c r="H157" i="7"/>
  <c r="H126" i="7"/>
  <c r="H143" i="7"/>
  <c r="H85" i="7"/>
  <c r="H51" i="7"/>
  <c r="H29" i="7"/>
  <c r="H114" i="7"/>
  <c r="H138" i="7"/>
  <c r="H28" i="7"/>
  <c r="H160" i="7"/>
  <c r="H70" i="7"/>
  <c r="H156" i="7"/>
  <c r="H123" i="7"/>
  <c r="H139" i="7"/>
  <c r="H105" i="7"/>
  <c r="H53" i="7"/>
  <c r="H176" i="7"/>
  <c r="H183" i="7"/>
  <c r="H115" i="7"/>
  <c r="H75" i="7"/>
  <c r="H175" i="7"/>
  <c r="H39" i="7"/>
  <c r="H62" i="7"/>
  <c r="H169" i="7"/>
  <c r="H52" i="7"/>
  <c r="H151" i="7"/>
  <c r="K13" i="7"/>
  <c r="H127" i="7"/>
  <c r="H158" i="7"/>
  <c r="G190" i="6"/>
  <c r="G196" i="14"/>
  <c r="M14" i="13"/>
  <c r="K16" i="22"/>
  <c r="K16" i="25"/>
  <c r="H198" i="10"/>
  <c r="H183" i="19"/>
  <c r="M183" i="19"/>
  <c r="H178" i="19"/>
  <c r="H174" i="19"/>
  <c r="H170" i="19"/>
  <c r="H160" i="19"/>
  <c r="H156" i="19"/>
  <c r="H152" i="19"/>
  <c r="H146" i="19"/>
  <c r="H142" i="19"/>
  <c r="H136" i="19"/>
  <c r="H131" i="19"/>
  <c r="H127" i="19"/>
  <c r="H123" i="19"/>
  <c r="H117" i="19"/>
  <c r="H113" i="19"/>
  <c r="H107" i="19"/>
  <c r="H101" i="19"/>
  <c r="H97" i="19"/>
  <c r="H91" i="19"/>
  <c r="H87" i="19"/>
  <c r="H83" i="19"/>
  <c r="H73" i="19"/>
  <c r="H69" i="19"/>
  <c r="H65" i="19"/>
  <c r="H61" i="19"/>
  <c r="H180" i="19"/>
  <c r="H176" i="19"/>
  <c r="H172" i="19"/>
  <c r="H168" i="19"/>
  <c r="H162" i="19"/>
  <c r="H158" i="19"/>
  <c r="H154" i="19"/>
  <c r="H150" i="19"/>
  <c r="H144" i="19"/>
  <c r="H138" i="19"/>
  <c r="H134" i="19"/>
  <c r="H129" i="19"/>
  <c r="H125" i="19"/>
  <c r="H121" i="19"/>
  <c r="H115" i="19"/>
  <c r="H109" i="19"/>
  <c r="H105" i="19"/>
  <c r="H99" i="19"/>
  <c r="H95" i="19"/>
  <c r="H89" i="19"/>
  <c r="H85" i="19"/>
  <c r="H81" i="19"/>
  <c r="H75" i="19"/>
  <c r="H71" i="19"/>
  <c r="H67" i="19"/>
  <c r="H51" i="19"/>
  <c r="H42" i="19"/>
  <c r="H33" i="19"/>
  <c r="H24" i="19"/>
  <c r="H62" i="19"/>
  <c r="H54" i="19"/>
  <c r="H49" i="19"/>
  <c r="H40" i="19"/>
  <c r="H35" i="19"/>
  <c r="H26" i="19"/>
  <c r="H173" i="19"/>
  <c r="H163" i="19"/>
  <c r="H155" i="19"/>
  <c r="H145" i="19"/>
  <c r="H135" i="19"/>
  <c r="H126" i="19"/>
  <c r="H116" i="19"/>
  <c r="H106" i="19"/>
  <c r="H96" i="19"/>
  <c r="H86" i="19"/>
  <c r="H76" i="19"/>
  <c r="H68" i="19"/>
  <c r="H53" i="19"/>
  <c r="H44" i="19"/>
  <c r="H39" i="19"/>
  <c r="H30" i="19"/>
  <c r="H21" i="19"/>
  <c r="H179" i="19"/>
  <c r="H171" i="19"/>
  <c r="H161" i="19"/>
  <c r="H153" i="19"/>
  <c r="H143" i="19"/>
  <c r="H133" i="19"/>
  <c r="H124" i="19"/>
  <c r="H114" i="19"/>
  <c r="H104" i="19"/>
  <c r="H92" i="19"/>
  <c r="H84" i="19"/>
  <c r="H74" i="19"/>
  <c r="H66" i="19"/>
  <c r="H57" i="19"/>
  <c r="H52" i="19"/>
  <c r="H47" i="19"/>
  <c r="H38" i="19"/>
  <c r="H29" i="19"/>
  <c r="H60" i="19"/>
  <c r="H48" i="19"/>
  <c r="H167" i="19"/>
  <c r="H147" i="19"/>
  <c r="H128" i="19"/>
  <c r="H108" i="19"/>
  <c r="H88" i="19"/>
  <c r="H70" i="19"/>
  <c r="H45" i="19"/>
  <c r="H36" i="19"/>
  <c r="H43" i="19"/>
  <c r="H34" i="19"/>
  <c r="H25" i="19"/>
  <c r="H175" i="19"/>
  <c r="H157" i="19"/>
  <c r="H137" i="19"/>
  <c r="H118" i="19"/>
  <c r="H98" i="19"/>
  <c r="H80" i="19"/>
  <c r="H31" i="19"/>
  <c r="H22" i="19"/>
  <c r="H169" i="19"/>
  <c r="H130" i="19"/>
  <c r="H90" i="19"/>
  <c r="H56" i="19"/>
  <c r="H37" i="19"/>
  <c r="H151" i="19"/>
  <c r="H110" i="19"/>
  <c r="H72" i="19"/>
  <c r="H46" i="19"/>
  <c r="H28" i="19"/>
  <c r="H27" i="19"/>
  <c r="H63" i="19"/>
  <c r="H41" i="19"/>
  <c r="H177" i="19"/>
  <c r="H100" i="19"/>
  <c r="H139" i="19"/>
  <c r="H64" i="19"/>
  <c r="H23" i="19"/>
  <c r="K13" i="19"/>
  <c r="H55" i="19"/>
  <c r="H122" i="19"/>
  <c r="H50" i="19"/>
  <c r="H159" i="19"/>
  <c r="H82" i="19"/>
  <c r="H32" i="19"/>
  <c r="M17" i="21"/>
  <c r="C208" i="14"/>
  <c r="H198" i="23"/>
  <c r="G206" i="23"/>
  <c r="H195" i="23"/>
  <c r="M179" i="23"/>
  <c r="M175" i="23"/>
  <c r="M171" i="23"/>
  <c r="M167" i="23"/>
  <c r="M161" i="23"/>
  <c r="M157" i="23"/>
  <c r="M153" i="23"/>
  <c r="M143" i="23"/>
  <c r="M137" i="23"/>
  <c r="M133" i="23"/>
  <c r="M128" i="23"/>
  <c r="M124" i="23"/>
  <c r="M118" i="23"/>
  <c r="M114" i="23"/>
  <c r="M108" i="23"/>
  <c r="M104" i="23"/>
  <c r="M98" i="23"/>
  <c r="M92" i="23"/>
  <c r="M88" i="23"/>
  <c r="M84" i="23"/>
  <c r="M80" i="23"/>
  <c r="M74" i="23"/>
  <c r="M70" i="23"/>
  <c r="M66" i="23"/>
  <c r="M62" i="23"/>
  <c r="M56" i="23"/>
  <c r="M52" i="23"/>
  <c r="M48" i="23"/>
  <c r="M44" i="23"/>
  <c r="M40" i="23"/>
  <c r="M36" i="23"/>
  <c r="M32" i="23"/>
  <c r="M28" i="23"/>
  <c r="M24" i="23"/>
  <c r="H194" i="23"/>
  <c r="K14" i="23"/>
  <c r="M181" i="23"/>
  <c r="M177" i="23"/>
  <c r="M173" i="23"/>
  <c r="M169" i="23"/>
  <c r="M163" i="23"/>
  <c r="M159" i="23"/>
  <c r="M155" i="23"/>
  <c r="M151" i="23"/>
  <c r="M145" i="23"/>
  <c r="M139" i="23"/>
  <c r="M135" i="23"/>
  <c r="M130" i="23"/>
  <c r="M126" i="23"/>
  <c r="M122" i="23"/>
  <c r="M116" i="23"/>
  <c r="M110" i="23"/>
  <c r="M106" i="23"/>
  <c r="M100" i="23"/>
  <c r="M96" i="23"/>
  <c r="M90" i="23"/>
  <c r="M86" i="23"/>
  <c r="M82" i="23"/>
  <c r="M76" i="23"/>
  <c r="M72" i="23"/>
  <c r="M68" i="23"/>
  <c r="M64" i="23"/>
  <c r="M60" i="23"/>
  <c r="M54" i="23"/>
  <c r="M50" i="23"/>
  <c r="M46" i="23"/>
  <c r="M42" i="23"/>
  <c r="M38" i="23"/>
  <c r="M34" i="23"/>
  <c r="M30" i="23"/>
  <c r="M26" i="23"/>
  <c r="M22" i="23"/>
  <c r="H196" i="23"/>
  <c r="M170" i="23"/>
  <c r="M162" i="23"/>
  <c r="M131" i="23"/>
  <c r="M125" i="23"/>
  <c r="M91" i="23"/>
  <c r="M85" i="23"/>
  <c r="M55" i="23"/>
  <c r="M49" i="23"/>
  <c r="M23" i="23"/>
  <c r="M180" i="23"/>
  <c r="M152" i="23"/>
  <c r="M144" i="23"/>
  <c r="M113" i="23"/>
  <c r="M105" i="23"/>
  <c r="M73" i="23"/>
  <c r="M67" i="23"/>
  <c r="M39" i="23"/>
  <c r="M33" i="23"/>
  <c r="M164" i="23"/>
  <c r="M158" i="23"/>
  <c r="M127" i="23"/>
  <c r="M121" i="23"/>
  <c r="M87" i="23"/>
  <c r="M81" i="23"/>
  <c r="M51" i="23"/>
  <c r="M45" i="23"/>
  <c r="H197" i="23"/>
  <c r="M156" i="23"/>
  <c r="M150" i="23"/>
  <c r="M117" i="23"/>
  <c r="M109" i="23"/>
  <c r="M77" i="23"/>
  <c r="M71" i="23"/>
  <c r="M43" i="23"/>
  <c r="M37" i="23"/>
  <c r="M17" i="23"/>
  <c r="M176" i="23"/>
  <c r="M146" i="23"/>
  <c r="M99" i="23"/>
  <c r="M69" i="23"/>
  <c r="M29" i="23"/>
  <c r="M160" i="23"/>
  <c r="M41" i="23"/>
  <c r="M138" i="23"/>
  <c r="M107" i="23"/>
  <c r="M63" i="23"/>
  <c r="M35" i="23"/>
  <c r="M136" i="23"/>
  <c r="M89" i="23"/>
  <c r="M61" i="23"/>
  <c r="M154" i="23"/>
  <c r="M123" i="23"/>
  <c r="M75" i="23"/>
  <c r="M47" i="23"/>
  <c r="M168" i="23"/>
  <c r="M21" i="23"/>
  <c r="M178" i="23"/>
  <c r="M134" i="23"/>
  <c r="M101" i="23"/>
  <c r="M57" i="23"/>
  <c r="M31" i="23"/>
  <c r="M115" i="23"/>
  <c r="M83" i="23"/>
  <c r="M174" i="23"/>
  <c r="M53" i="23"/>
  <c r="M172" i="23"/>
  <c r="M97" i="23"/>
  <c r="M27" i="23"/>
  <c r="M95" i="23"/>
  <c r="M142" i="23"/>
  <c r="M25" i="23"/>
  <c r="M129" i="23"/>
  <c r="M65" i="23"/>
  <c r="H194" i="27"/>
  <c r="G183" i="25"/>
  <c r="M190" i="20"/>
  <c r="G207" i="25"/>
  <c r="H183" i="13"/>
  <c r="H179" i="13"/>
  <c r="H175" i="13"/>
  <c r="H171" i="13"/>
  <c r="H167" i="13"/>
  <c r="H161" i="13"/>
  <c r="H157" i="13"/>
  <c r="H153" i="13"/>
  <c r="H147" i="13"/>
  <c r="H143" i="13"/>
  <c r="H137" i="13"/>
  <c r="H133" i="13"/>
  <c r="H128" i="13"/>
  <c r="H124" i="13"/>
  <c r="H118" i="13"/>
  <c r="H114" i="13"/>
  <c r="H104" i="13"/>
  <c r="H98" i="13"/>
  <c r="H92" i="13"/>
  <c r="H88" i="13"/>
  <c r="H84" i="13"/>
  <c r="H80" i="13"/>
  <c r="H74" i="13"/>
  <c r="H70" i="13"/>
  <c r="H66" i="13"/>
  <c r="H62" i="13"/>
  <c r="H56" i="13"/>
  <c r="H52" i="13"/>
  <c r="H48" i="13"/>
  <c r="H44" i="13"/>
  <c r="H40" i="13"/>
  <c r="H36" i="13"/>
  <c r="H24" i="13"/>
  <c r="H177" i="13"/>
  <c r="H168" i="13"/>
  <c r="H152" i="13"/>
  <c r="H139" i="13"/>
  <c r="H129" i="13"/>
  <c r="H113" i="13"/>
  <c r="H100" i="13"/>
  <c r="H89" i="13"/>
  <c r="H73" i="13"/>
  <c r="H64" i="13"/>
  <c r="H53" i="13"/>
  <c r="H39" i="13"/>
  <c r="H30" i="13"/>
  <c r="H21" i="13"/>
  <c r="H170" i="13"/>
  <c r="H159" i="13"/>
  <c r="H150" i="13"/>
  <c r="H131" i="13"/>
  <c r="H122" i="13"/>
  <c r="H109" i="13"/>
  <c r="H91" i="13"/>
  <c r="H82" i="13"/>
  <c r="H71" i="13"/>
  <c r="H55" i="13"/>
  <c r="H46" i="13"/>
  <c r="H37" i="13"/>
  <c r="H23" i="13"/>
  <c r="K13" i="13"/>
  <c r="H174" i="13"/>
  <c r="H163" i="13"/>
  <c r="H154" i="13"/>
  <c r="H136" i="13"/>
  <c r="H126" i="13"/>
  <c r="H115" i="13"/>
  <c r="H97" i="13"/>
  <c r="H86" i="13"/>
  <c r="H75" i="13"/>
  <c r="H61" i="13"/>
  <c r="H50" i="13"/>
  <c r="H41" i="13"/>
  <c r="H27" i="13"/>
  <c r="H173" i="13"/>
  <c r="H162" i="13"/>
  <c r="H146" i="13"/>
  <c r="H135" i="13"/>
  <c r="H125" i="13"/>
  <c r="H107" i="13"/>
  <c r="H96" i="13"/>
  <c r="H85" i="13"/>
  <c r="H69" i="13"/>
  <c r="H60" i="13"/>
  <c r="H49" i="13"/>
  <c r="H35" i="13"/>
  <c r="H26" i="13"/>
  <c r="H181" i="13"/>
  <c r="H172" i="13"/>
  <c r="H117" i="13"/>
  <c r="H106" i="13"/>
  <c r="H95" i="13"/>
  <c r="H43" i="13"/>
  <c r="H34" i="13"/>
  <c r="H25" i="13"/>
  <c r="H160" i="13"/>
  <c r="H151" i="13"/>
  <c r="H138" i="13"/>
  <c r="H83" i="13"/>
  <c r="H72" i="13"/>
  <c r="H63" i="13"/>
  <c r="H180" i="13"/>
  <c r="H116" i="13"/>
  <c r="H51" i="13"/>
  <c r="H33" i="13"/>
  <c r="H158" i="13"/>
  <c r="H31" i="13"/>
  <c r="H156" i="13"/>
  <c r="H145" i="13"/>
  <c r="H134" i="13"/>
  <c r="H77" i="13"/>
  <c r="H68" i="13"/>
  <c r="H164" i="13"/>
  <c r="H87" i="13"/>
  <c r="H67" i="13"/>
  <c r="H169" i="13"/>
  <c r="H81" i="13"/>
  <c r="H176" i="13"/>
  <c r="H123" i="13"/>
  <c r="H110" i="13"/>
  <c r="H99" i="13"/>
  <c r="H47" i="13"/>
  <c r="H38" i="13"/>
  <c r="H29" i="13"/>
  <c r="H155" i="13"/>
  <c r="H144" i="13"/>
  <c r="H76" i="13"/>
  <c r="H178" i="13"/>
  <c r="H90" i="13"/>
  <c r="H142" i="13"/>
  <c r="H130" i="13"/>
  <c r="H121" i="13"/>
  <c r="H65" i="13"/>
  <c r="H54" i="13"/>
  <c r="H45" i="13"/>
  <c r="H127" i="13"/>
  <c r="H105" i="13"/>
  <c r="H42" i="13"/>
  <c r="H101" i="13"/>
  <c r="H22" i="13"/>
  <c r="G190" i="22"/>
  <c r="H183" i="22"/>
  <c r="H181" i="22"/>
  <c r="H177" i="22"/>
  <c r="H173" i="22"/>
  <c r="H169" i="22"/>
  <c r="H163" i="22"/>
  <c r="H159" i="22"/>
  <c r="H155" i="22"/>
  <c r="H151" i="22"/>
  <c r="H145" i="22"/>
  <c r="H139" i="22"/>
  <c r="H135" i="22"/>
  <c r="H130" i="22"/>
  <c r="H126" i="22"/>
  <c r="H122" i="22"/>
  <c r="H116" i="22"/>
  <c r="H106" i="22"/>
  <c r="H100" i="22"/>
  <c r="H96" i="22"/>
  <c r="H90" i="22"/>
  <c r="H86" i="22"/>
  <c r="H82" i="22"/>
  <c r="H76" i="22"/>
  <c r="H72" i="22"/>
  <c r="H68" i="22"/>
  <c r="H64" i="22"/>
  <c r="H60" i="22"/>
  <c r="H54" i="22"/>
  <c r="H50" i="22"/>
  <c r="H46" i="22"/>
  <c r="H42" i="22"/>
  <c r="H38" i="22"/>
  <c r="H34" i="22"/>
  <c r="H30" i="22"/>
  <c r="H26" i="22"/>
  <c r="H22" i="22"/>
  <c r="H180" i="22"/>
  <c r="H176" i="22"/>
  <c r="H172" i="22"/>
  <c r="H168" i="22"/>
  <c r="H162" i="22"/>
  <c r="H158" i="22"/>
  <c r="H154" i="22"/>
  <c r="H150" i="22"/>
  <c r="H144" i="22"/>
  <c r="H138" i="22"/>
  <c r="H134" i="22"/>
  <c r="H129" i="22"/>
  <c r="H125" i="22"/>
  <c r="H121" i="22"/>
  <c r="H115" i="22"/>
  <c r="H109" i="22"/>
  <c r="H105" i="22"/>
  <c r="H99" i="22"/>
  <c r="H95" i="22"/>
  <c r="H89" i="22"/>
  <c r="H85" i="22"/>
  <c r="H81" i="22"/>
  <c r="H75" i="22"/>
  <c r="H71" i="22"/>
  <c r="H67" i="22"/>
  <c r="H63" i="22"/>
  <c r="H57" i="22"/>
  <c r="H53" i="22"/>
  <c r="H49" i="22"/>
  <c r="H45" i="22"/>
  <c r="H41" i="22"/>
  <c r="H37" i="22"/>
  <c r="H33" i="22"/>
  <c r="H29" i="22"/>
  <c r="H25" i="22"/>
  <c r="H21" i="22"/>
  <c r="K13" i="22"/>
  <c r="H179" i="22"/>
  <c r="H174" i="22"/>
  <c r="H161" i="22"/>
  <c r="H156" i="22"/>
  <c r="H143" i="22"/>
  <c r="H136" i="22"/>
  <c r="H124" i="22"/>
  <c r="H117" i="22"/>
  <c r="H104" i="22"/>
  <c r="H97" i="22"/>
  <c r="H84" i="22"/>
  <c r="H77" i="22"/>
  <c r="H66" i="22"/>
  <c r="H61" i="22"/>
  <c r="H48" i="22"/>
  <c r="H43" i="22"/>
  <c r="H32" i="22"/>
  <c r="H27" i="22"/>
  <c r="M183" i="22"/>
  <c r="H171" i="22"/>
  <c r="H164" i="22"/>
  <c r="H153" i="22"/>
  <c r="H146" i="22"/>
  <c r="H133" i="22"/>
  <c r="H127" i="22"/>
  <c r="H114" i="22"/>
  <c r="H107" i="22"/>
  <c r="H92" i="22"/>
  <c r="H87" i="22"/>
  <c r="H74" i="22"/>
  <c r="H69" i="22"/>
  <c r="H56" i="22"/>
  <c r="H51" i="22"/>
  <c r="H40" i="22"/>
  <c r="H35" i="22"/>
  <c r="H24" i="22"/>
  <c r="H170" i="22"/>
  <c r="H157" i="22"/>
  <c r="H131" i="22"/>
  <c r="H118" i="22"/>
  <c r="H91" i="22"/>
  <c r="H80" i="22"/>
  <c r="H55" i="22"/>
  <c r="H44" i="22"/>
  <c r="H23" i="22"/>
  <c r="H175" i="22"/>
  <c r="H152" i="22"/>
  <c r="H137" i="22"/>
  <c r="H113" i="22"/>
  <c r="H98" i="22"/>
  <c r="H73" i="22"/>
  <c r="H62" i="22"/>
  <c r="H39" i="22"/>
  <c r="H28" i="22"/>
  <c r="H160" i="22"/>
  <c r="H108" i="22"/>
  <c r="H83" i="22"/>
  <c r="H36" i="22"/>
  <c r="H147" i="22"/>
  <c r="H123" i="22"/>
  <c r="H70" i="22"/>
  <c r="H47" i="22"/>
  <c r="H167" i="22"/>
  <c r="H65" i="22"/>
  <c r="H142" i="22"/>
  <c r="H88" i="22"/>
  <c r="H128" i="22"/>
  <c r="H31" i="22"/>
  <c r="H178" i="22"/>
  <c r="H101" i="22"/>
  <c r="H52" i="22"/>
  <c r="K16" i="24"/>
  <c r="G207" i="24"/>
  <c r="G207" i="23"/>
  <c r="K16" i="23"/>
  <c r="H183" i="23"/>
  <c r="H179" i="23"/>
  <c r="H175" i="23"/>
  <c r="H171" i="23"/>
  <c r="H167" i="23"/>
  <c r="H161" i="23"/>
  <c r="H157" i="23"/>
  <c r="H153" i="23"/>
  <c r="H143" i="23"/>
  <c r="H137" i="23"/>
  <c r="H133" i="23"/>
  <c r="H128" i="23"/>
  <c r="H124" i="23"/>
  <c r="H118" i="23"/>
  <c r="H114" i="23"/>
  <c r="H108" i="23"/>
  <c r="H104" i="23"/>
  <c r="H98" i="23"/>
  <c r="H92" i="23"/>
  <c r="H88" i="23"/>
  <c r="H84" i="23"/>
  <c r="H80" i="23"/>
  <c r="H74" i="23"/>
  <c r="H70" i="23"/>
  <c r="H66" i="23"/>
  <c r="H62" i="23"/>
  <c r="H56" i="23"/>
  <c r="H52" i="23"/>
  <c r="H48" i="23"/>
  <c r="H44" i="23"/>
  <c r="H40" i="23"/>
  <c r="H36" i="23"/>
  <c r="H32" i="23"/>
  <c r="H28" i="23"/>
  <c r="H24" i="23"/>
  <c r="K13" i="23"/>
  <c r="H177" i="23"/>
  <c r="H156" i="23"/>
  <c r="H150" i="23"/>
  <c r="H139" i="23"/>
  <c r="H117" i="23"/>
  <c r="H109" i="23"/>
  <c r="H100" i="23"/>
  <c r="H77" i="23"/>
  <c r="H71" i="23"/>
  <c r="H64" i="23"/>
  <c r="H43" i="23"/>
  <c r="H37" i="23"/>
  <c r="H30" i="23"/>
  <c r="H174" i="23"/>
  <c r="H168" i="23"/>
  <c r="H159" i="23"/>
  <c r="H136" i="23"/>
  <c r="H129" i="23"/>
  <c r="H122" i="23"/>
  <c r="H97" i="23"/>
  <c r="H89" i="23"/>
  <c r="H82" i="23"/>
  <c r="H61" i="23"/>
  <c r="H53" i="23"/>
  <c r="H46" i="23"/>
  <c r="H27" i="23"/>
  <c r="H21" i="23"/>
  <c r="H180" i="23"/>
  <c r="H173" i="23"/>
  <c r="H152" i="23"/>
  <c r="H144" i="23"/>
  <c r="H135" i="23"/>
  <c r="H113" i="23"/>
  <c r="H105" i="23"/>
  <c r="H96" i="23"/>
  <c r="H73" i="23"/>
  <c r="H67" i="23"/>
  <c r="H60" i="23"/>
  <c r="H39" i="23"/>
  <c r="H33" i="23"/>
  <c r="H26" i="23"/>
  <c r="H178" i="23"/>
  <c r="H172" i="23"/>
  <c r="H163" i="23"/>
  <c r="H142" i="23"/>
  <c r="H134" i="23"/>
  <c r="H126" i="23"/>
  <c r="H101" i="23"/>
  <c r="H95" i="23"/>
  <c r="H86" i="23"/>
  <c r="H65" i="23"/>
  <c r="H57" i="23"/>
  <c r="H50" i="23"/>
  <c r="H31" i="23"/>
  <c r="H25" i="23"/>
  <c r="H162" i="23"/>
  <c r="H131" i="23"/>
  <c r="H116" i="23"/>
  <c r="H85" i="23"/>
  <c r="H55" i="23"/>
  <c r="H42" i="23"/>
  <c r="H130" i="23"/>
  <c r="H99" i="23"/>
  <c r="H69" i="23"/>
  <c r="H170" i="23"/>
  <c r="H155" i="23"/>
  <c r="H125" i="23"/>
  <c r="H91" i="23"/>
  <c r="H76" i="23"/>
  <c r="H49" i="23"/>
  <c r="H23" i="23"/>
  <c r="H181" i="23"/>
  <c r="H34" i="23"/>
  <c r="M183" i="23"/>
  <c r="H169" i="23"/>
  <c r="H138" i="23"/>
  <c r="H107" i="23"/>
  <c r="H90" i="23"/>
  <c r="H63" i="23"/>
  <c r="H35" i="23"/>
  <c r="H22" i="23"/>
  <c r="H154" i="23"/>
  <c r="H123" i="23"/>
  <c r="H106" i="23"/>
  <c r="H75" i="23"/>
  <c r="H47" i="23"/>
  <c r="H164" i="23"/>
  <c r="H151" i="23"/>
  <c r="H121" i="23"/>
  <c r="H87" i="23"/>
  <c r="H72" i="23"/>
  <c r="H45" i="23"/>
  <c r="H176" i="23"/>
  <c r="H146" i="23"/>
  <c r="H54" i="23"/>
  <c r="H29" i="23"/>
  <c r="H115" i="23"/>
  <c r="H110" i="23"/>
  <c r="H51" i="23"/>
  <c r="H145" i="23"/>
  <c r="H83" i="23"/>
  <c r="H68" i="23"/>
  <c r="H38" i="23"/>
  <c r="H81" i="23"/>
  <c r="H158" i="23"/>
  <c r="H127" i="23"/>
  <c r="H160" i="23"/>
  <c r="H41" i="23"/>
  <c r="G206" i="7"/>
  <c r="M67" i="7"/>
  <c r="M63" i="7"/>
  <c r="M52" i="7"/>
  <c r="M87" i="7"/>
  <c r="H198" i="7"/>
  <c r="M43" i="7"/>
  <c r="M31" i="7"/>
  <c r="M153" i="7"/>
  <c r="M154" i="7"/>
  <c r="H197" i="7"/>
  <c r="M177" i="7"/>
  <c r="M169" i="7"/>
  <c r="M159" i="7"/>
  <c r="H194" i="7"/>
  <c r="M173" i="7"/>
  <c r="M162" i="7"/>
  <c r="M152" i="7"/>
  <c r="M142" i="7"/>
  <c r="M131" i="7"/>
  <c r="M124" i="7"/>
  <c r="M114" i="7"/>
  <c r="M104" i="7"/>
  <c r="M92" i="7"/>
  <c r="M84" i="7"/>
  <c r="M74" i="7"/>
  <c r="M66" i="7"/>
  <c r="M55" i="7"/>
  <c r="M46" i="7"/>
  <c r="M37" i="7"/>
  <c r="M179" i="7"/>
  <c r="M170" i="7"/>
  <c r="M158" i="7"/>
  <c r="M147" i="7"/>
  <c r="M137" i="7"/>
  <c r="M121" i="7"/>
  <c r="M109" i="7"/>
  <c r="M99" i="7"/>
  <c r="M89" i="7"/>
  <c r="M81" i="7"/>
  <c r="M71" i="7"/>
  <c r="M51" i="7"/>
  <c r="M42" i="7"/>
  <c r="M34" i="7"/>
  <c r="M26" i="7"/>
  <c r="M17" i="7"/>
  <c r="M178" i="7"/>
  <c r="M168" i="7"/>
  <c r="M157" i="7"/>
  <c r="M146" i="7"/>
  <c r="M136" i="7"/>
  <c r="M128" i="7"/>
  <c r="M118" i="7"/>
  <c r="M108" i="7"/>
  <c r="M98" i="7"/>
  <c r="M88" i="7"/>
  <c r="M80" i="7"/>
  <c r="M70" i="7"/>
  <c r="M62" i="7"/>
  <c r="M50" i="7"/>
  <c r="M41" i="7"/>
  <c r="M33" i="7"/>
  <c r="M25" i="7"/>
  <c r="H195" i="7"/>
  <c r="M174" i="7"/>
  <c r="M163" i="7"/>
  <c r="M143" i="7"/>
  <c r="M133" i="7"/>
  <c r="M125" i="7"/>
  <c r="M115" i="7"/>
  <c r="M105" i="7"/>
  <c r="M95" i="7"/>
  <c r="M85" i="7"/>
  <c r="M75" i="7"/>
  <c r="M56" i="7"/>
  <c r="M47" i="7"/>
  <c r="M38" i="7"/>
  <c r="M30" i="7"/>
  <c r="M22" i="7"/>
  <c r="M176" i="7"/>
  <c r="M156" i="7"/>
  <c r="M138" i="7"/>
  <c r="M123" i="7"/>
  <c r="M101" i="7"/>
  <c r="M83" i="7"/>
  <c r="M49" i="7"/>
  <c r="M32" i="7"/>
  <c r="K14" i="7"/>
  <c r="M167" i="7"/>
  <c r="M150" i="7"/>
  <c r="M129" i="7"/>
  <c r="M113" i="7"/>
  <c r="M91" i="7"/>
  <c r="M73" i="7"/>
  <c r="M61" i="7"/>
  <c r="M40" i="7"/>
  <c r="M27" i="7"/>
  <c r="H196" i="7"/>
  <c r="M164" i="7"/>
  <c r="M145" i="7"/>
  <c r="M110" i="7"/>
  <c r="M90" i="7"/>
  <c r="M72" i="7"/>
  <c r="M60" i="7"/>
  <c r="M39" i="7"/>
  <c r="M24" i="7"/>
  <c r="M180" i="7"/>
  <c r="M160" i="7"/>
  <c r="M139" i="7"/>
  <c r="M126" i="7"/>
  <c r="M106" i="7"/>
  <c r="M86" i="7"/>
  <c r="M68" i="7"/>
  <c r="M53" i="7"/>
  <c r="M35" i="7"/>
  <c r="M21" i="7"/>
  <c r="M175" i="7"/>
  <c r="M135" i="7"/>
  <c r="M107" i="7"/>
  <c r="M69" i="7"/>
  <c r="M44" i="7"/>
  <c r="M172" i="7"/>
  <c r="M155" i="7"/>
  <c r="M127" i="7"/>
  <c r="M28" i="7"/>
  <c r="M117" i="7"/>
  <c r="M122" i="7"/>
  <c r="M82" i="7"/>
  <c r="M54" i="7"/>
  <c r="M23" i="7"/>
  <c r="M151" i="7"/>
  <c r="M77" i="7"/>
  <c r="M48" i="7"/>
  <c r="M181" i="7"/>
  <c r="M144" i="7"/>
  <c r="M116" i="7"/>
  <c r="M76" i="7"/>
  <c r="M45" i="7"/>
  <c r="M134" i="7"/>
  <c r="M100" i="7"/>
  <c r="M36" i="7"/>
  <c r="M97" i="7"/>
  <c r="M29" i="7"/>
  <c r="M96" i="7"/>
  <c r="M171" i="7"/>
  <c r="M161" i="7"/>
  <c r="M65" i="7"/>
  <c r="M64" i="7"/>
  <c r="M130" i="7"/>
  <c r="H198" i="27"/>
  <c r="H196" i="27"/>
  <c r="K14" i="27"/>
  <c r="M178" i="27"/>
  <c r="M174" i="27"/>
  <c r="M170" i="27"/>
  <c r="M164" i="27"/>
  <c r="M160" i="27"/>
  <c r="M156" i="27"/>
  <c r="M152" i="27"/>
  <c r="M146" i="27"/>
  <c r="M142" i="27"/>
  <c r="M136" i="27"/>
  <c r="M131" i="27"/>
  <c r="M127" i="27"/>
  <c r="M123" i="27"/>
  <c r="M117" i="27"/>
  <c r="M113" i="27"/>
  <c r="M107" i="27"/>
  <c r="M101" i="27"/>
  <c r="M97" i="27"/>
  <c r="M91" i="27"/>
  <c r="M87" i="27"/>
  <c r="M83" i="27"/>
  <c r="M77" i="27"/>
  <c r="M73" i="27"/>
  <c r="M69" i="27"/>
  <c r="M65" i="27"/>
  <c r="M61" i="27"/>
  <c r="M55" i="27"/>
  <c r="M51" i="27"/>
  <c r="M47" i="27"/>
  <c r="M43" i="27"/>
  <c r="M39" i="27"/>
  <c r="M35" i="27"/>
  <c r="M31" i="27"/>
  <c r="M27" i="27"/>
  <c r="M23" i="27"/>
  <c r="M17" i="27"/>
  <c r="M180" i="27"/>
  <c r="M176" i="27"/>
  <c r="M172" i="27"/>
  <c r="M168" i="27"/>
  <c r="M162" i="27"/>
  <c r="M158" i="27"/>
  <c r="M154" i="27"/>
  <c r="M150" i="27"/>
  <c r="M144" i="27"/>
  <c r="M138" i="27"/>
  <c r="M134" i="27"/>
  <c r="M129" i="27"/>
  <c r="M125" i="27"/>
  <c r="M121" i="27"/>
  <c r="M115" i="27"/>
  <c r="M109" i="27"/>
  <c r="M105" i="27"/>
  <c r="M99" i="27"/>
  <c r="M95" i="27"/>
  <c r="M89" i="27"/>
  <c r="M85" i="27"/>
  <c r="M81" i="27"/>
  <c r="M75" i="27"/>
  <c r="M71" i="27"/>
  <c r="M67" i="27"/>
  <c r="M63" i="27"/>
  <c r="M57" i="27"/>
  <c r="M53" i="27"/>
  <c r="M49" i="27"/>
  <c r="M45" i="27"/>
  <c r="M41" i="27"/>
  <c r="M37" i="27"/>
  <c r="M33" i="27"/>
  <c r="M29" i="27"/>
  <c r="M25" i="27"/>
  <c r="M21" i="27"/>
  <c r="H195" i="27"/>
  <c r="M183" i="27"/>
  <c r="M171" i="27"/>
  <c r="M153" i="27"/>
  <c r="M133" i="27"/>
  <c r="M114" i="27"/>
  <c r="M92" i="27"/>
  <c r="M74" i="27"/>
  <c r="M56" i="27"/>
  <c r="M40" i="27"/>
  <c r="M24" i="27"/>
  <c r="M179" i="27"/>
  <c r="M161" i="27"/>
  <c r="M143" i="27"/>
  <c r="M124" i="27"/>
  <c r="M104" i="27"/>
  <c r="M84" i="27"/>
  <c r="M66" i="27"/>
  <c r="M48" i="27"/>
  <c r="M32" i="27"/>
  <c r="M173" i="27"/>
  <c r="M155" i="27"/>
  <c r="M135" i="27"/>
  <c r="M116" i="27"/>
  <c r="M96" i="27"/>
  <c r="M76" i="27"/>
  <c r="M60" i="27"/>
  <c r="M42" i="27"/>
  <c r="M26" i="27"/>
  <c r="H197" i="27"/>
  <c r="M177" i="27"/>
  <c r="M159" i="27"/>
  <c r="M139" i="27"/>
  <c r="M122" i="27"/>
  <c r="M100" i="27"/>
  <c r="M82" i="27"/>
  <c r="M64" i="27"/>
  <c r="M46" i="27"/>
  <c r="M30" i="27"/>
  <c r="M181" i="27"/>
  <c r="M145" i="27"/>
  <c r="M106" i="27"/>
  <c r="M68" i="27"/>
  <c r="M34" i="27"/>
  <c r="M88" i="27"/>
  <c r="M163" i="27"/>
  <c r="M126" i="27"/>
  <c r="M86" i="27"/>
  <c r="M50" i="27"/>
  <c r="M130" i="27"/>
  <c r="M90" i="27"/>
  <c r="M147" i="27"/>
  <c r="M108" i="27"/>
  <c r="M70" i="27"/>
  <c r="M36" i="27"/>
  <c r="M169" i="27"/>
  <c r="M54" i="27"/>
  <c r="M22" i="27"/>
  <c r="M175" i="27"/>
  <c r="M137" i="27"/>
  <c r="M98" i="27"/>
  <c r="M62" i="27"/>
  <c r="M28" i="27"/>
  <c r="M167" i="27"/>
  <c r="M128" i="27"/>
  <c r="M52" i="27"/>
  <c r="M118" i="27"/>
  <c r="M72" i="27"/>
  <c r="M80" i="27"/>
  <c r="M44" i="27"/>
  <c r="M157" i="27"/>
  <c r="M151" i="27"/>
  <c r="M38" i="27"/>
  <c r="M110" i="27"/>
  <c r="H110" i="22"/>
  <c r="H147" i="23"/>
  <c r="G206" i="6"/>
  <c r="M37" i="6"/>
  <c r="H198" i="6"/>
  <c r="M81" i="6"/>
  <c r="M30" i="6"/>
  <c r="M96" i="6"/>
  <c r="M43" i="6"/>
  <c r="M151" i="6"/>
  <c r="M114" i="6"/>
  <c r="M124" i="6"/>
  <c r="M56" i="6"/>
  <c r="M70" i="6"/>
  <c r="M181" i="6"/>
  <c r="M173" i="6"/>
  <c r="M163" i="6"/>
  <c r="M155" i="6"/>
  <c r="M144" i="6"/>
  <c r="M134" i="6"/>
  <c r="M125" i="6"/>
  <c r="M113" i="6"/>
  <c r="M101" i="6"/>
  <c r="M90" i="6"/>
  <c r="M82" i="6"/>
  <c r="M71" i="6"/>
  <c r="M62" i="6"/>
  <c r="M51" i="6"/>
  <c r="M35" i="6"/>
  <c r="M27" i="6"/>
  <c r="K14" i="6"/>
  <c r="M179" i="6"/>
  <c r="M171" i="6"/>
  <c r="M161" i="6"/>
  <c r="M153" i="6"/>
  <c r="M142" i="6"/>
  <c r="M131" i="6"/>
  <c r="M122" i="6"/>
  <c r="M109" i="6"/>
  <c r="M99" i="6"/>
  <c r="M88" i="6"/>
  <c r="M77" i="6"/>
  <c r="M68" i="6"/>
  <c r="M60" i="6"/>
  <c r="M49" i="6"/>
  <c r="M41" i="6"/>
  <c r="M33" i="6"/>
  <c r="M25" i="6"/>
  <c r="H194" i="6"/>
  <c r="M170" i="6"/>
  <c r="M158" i="6"/>
  <c r="M145" i="6"/>
  <c r="M130" i="6"/>
  <c r="M117" i="6"/>
  <c r="M104" i="6"/>
  <c r="M87" i="6"/>
  <c r="M74" i="6"/>
  <c r="M63" i="6"/>
  <c r="M48" i="6"/>
  <c r="M39" i="6"/>
  <c r="M29" i="6"/>
  <c r="M177" i="6"/>
  <c r="M167" i="6"/>
  <c r="M154" i="6"/>
  <c r="M138" i="6"/>
  <c r="M127" i="6"/>
  <c r="M110" i="6"/>
  <c r="M97" i="6"/>
  <c r="M84" i="6"/>
  <c r="M69" i="6"/>
  <c r="M54" i="6"/>
  <c r="M45" i="6"/>
  <c r="M36" i="6"/>
  <c r="M24" i="6"/>
  <c r="M176" i="6"/>
  <c r="M164" i="6"/>
  <c r="M152" i="6"/>
  <c r="M137" i="6"/>
  <c r="M126" i="6"/>
  <c r="M108" i="6"/>
  <c r="M95" i="6"/>
  <c r="M83" i="6"/>
  <c r="M67" i="6"/>
  <c r="M53" i="6"/>
  <c r="M44" i="6"/>
  <c r="M34" i="6"/>
  <c r="M23" i="6"/>
  <c r="H195" i="6"/>
  <c r="M172" i="6"/>
  <c r="M159" i="6"/>
  <c r="M146" i="6"/>
  <c r="M133" i="6"/>
  <c r="M118" i="6"/>
  <c r="M105" i="6"/>
  <c r="M89" i="6"/>
  <c r="M75" i="6"/>
  <c r="M64" i="6"/>
  <c r="M50" i="6"/>
  <c r="M40" i="6"/>
  <c r="M168" i="6"/>
  <c r="M139" i="6"/>
  <c r="M115" i="6"/>
  <c r="M85" i="6"/>
  <c r="M55" i="6"/>
  <c r="M178" i="6"/>
  <c r="M156" i="6"/>
  <c r="M128" i="6"/>
  <c r="M98" i="6"/>
  <c r="M72" i="6"/>
  <c r="M46" i="6"/>
  <c r="M28" i="6"/>
  <c r="M175" i="6"/>
  <c r="M150" i="6"/>
  <c r="M123" i="6"/>
  <c r="M92" i="6"/>
  <c r="M66" i="6"/>
  <c r="M26" i="6"/>
  <c r="M169" i="6"/>
  <c r="M143" i="6"/>
  <c r="M116" i="6"/>
  <c r="M86" i="6"/>
  <c r="M61" i="6"/>
  <c r="M38" i="6"/>
  <c r="M21" i="6"/>
  <c r="M160" i="6"/>
  <c r="M106" i="6"/>
  <c r="M22" i="6"/>
  <c r="M157" i="6"/>
  <c r="M47" i="6"/>
  <c r="H196" i="6"/>
  <c r="M135" i="6"/>
  <c r="M76" i="6"/>
  <c r="M174" i="6"/>
  <c r="M65" i="6"/>
  <c r="M180" i="6"/>
  <c r="M129" i="6"/>
  <c r="M73" i="6"/>
  <c r="M32" i="6"/>
  <c r="M121" i="6"/>
  <c r="M31" i="6"/>
  <c r="M162" i="6"/>
  <c r="M107" i="6"/>
  <c r="M52" i="6"/>
  <c r="M100" i="6"/>
  <c r="M147" i="6"/>
  <c r="M136" i="6"/>
  <c r="M91" i="6"/>
  <c r="M17" i="6"/>
  <c r="M80" i="6"/>
  <c r="M42" i="6"/>
  <c r="H197" i="6"/>
  <c r="H62" i="6"/>
  <c r="H114" i="6"/>
  <c r="H27" i="6"/>
  <c r="H35" i="6"/>
  <c r="H43" i="6"/>
  <c r="H51" i="6"/>
  <c r="H81" i="6"/>
  <c r="H89" i="6"/>
  <c r="H126" i="6"/>
  <c r="H135" i="6"/>
  <c r="H153" i="6"/>
  <c r="H161" i="6"/>
  <c r="H71" i="6"/>
  <c r="H117" i="6"/>
  <c r="H25" i="6"/>
  <c r="H53" i="6"/>
  <c r="H104" i="6"/>
  <c r="H133" i="6"/>
  <c r="H63" i="6"/>
  <c r="H98" i="6"/>
  <c r="H169" i="6"/>
  <c r="H26" i="6"/>
  <c r="H45" i="6"/>
  <c r="H85" i="6"/>
  <c r="H124" i="6"/>
  <c r="H154" i="6"/>
  <c r="H142" i="6"/>
  <c r="H37" i="6"/>
  <c r="H106" i="6"/>
  <c r="H181" i="6"/>
  <c r="H143" i="6"/>
  <c r="H29" i="6"/>
  <c r="H87" i="6"/>
  <c r="H156" i="6"/>
  <c r="H75" i="6"/>
  <c r="H144" i="6"/>
  <c r="H173" i="6"/>
  <c r="H30" i="6"/>
  <c r="H39" i="6"/>
  <c r="H48" i="6"/>
  <c r="H88" i="6"/>
  <c r="H109" i="6"/>
  <c r="H128" i="6"/>
  <c r="H138" i="6"/>
  <c r="H157" i="6"/>
  <c r="H67" i="6"/>
  <c r="H76" i="6"/>
  <c r="H146" i="6"/>
  <c r="H31" i="6"/>
  <c r="H40" i="6"/>
  <c r="H80" i="6"/>
  <c r="H90" i="6"/>
  <c r="H129" i="6"/>
  <c r="H147" i="6"/>
  <c r="K13" i="6"/>
  <c r="H92" i="6"/>
  <c r="H164" i="6"/>
  <c r="H22" i="6"/>
  <c r="H41" i="6"/>
  <c r="H82" i="6"/>
  <c r="H121" i="6"/>
  <c r="H150" i="6"/>
  <c r="H99" i="6"/>
  <c r="H170" i="6"/>
  <c r="H46" i="6"/>
  <c r="H125" i="6"/>
  <c r="H100" i="6"/>
  <c r="H47" i="6"/>
  <c r="H137" i="6"/>
  <c r="H113" i="6"/>
  <c r="H49" i="6"/>
  <c r="H158" i="6"/>
  <c r="H68" i="6"/>
  <c r="H115" i="6"/>
  <c r="H175" i="6"/>
  <c r="H32" i="6"/>
  <c r="H50" i="6"/>
  <c r="H91" i="6"/>
  <c r="H130" i="6"/>
  <c r="H159" i="6"/>
  <c r="H73" i="6"/>
  <c r="H28" i="6"/>
  <c r="H86" i="6"/>
  <c r="H155" i="6"/>
  <c r="H74" i="6"/>
  <c r="H183" i="6"/>
  <c r="H56" i="6"/>
  <c r="H127" i="6"/>
  <c r="H60" i="6"/>
  <c r="H69" i="6"/>
  <c r="H96" i="6"/>
  <c r="H116" i="6"/>
  <c r="H167" i="6"/>
  <c r="H23" i="6"/>
  <c r="H33" i="6"/>
  <c r="H42" i="6"/>
  <c r="H52" i="6"/>
  <c r="H83" i="6"/>
  <c r="H122" i="6"/>
  <c r="H131" i="6"/>
  <c r="H151" i="6"/>
  <c r="H160" i="6"/>
  <c r="H61" i="6"/>
  <c r="H97" i="6"/>
  <c r="H177" i="6"/>
  <c r="H34" i="6"/>
  <c r="H44" i="6"/>
  <c r="H84" i="6"/>
  <c r="H123" i="6"/>
  <c r="H152" i="6"/>
  <c r="H162" i="6"/>
  <c r="H72" i="6"/>
  <c r="H139" i="6"/>
  <c r="H178" i="6"/>
  <c r="H36" i="6"/>
  <c r="H54" i="6"/>
  <c r="H105" i="6"/>
  <c r="H134" i="6"/>
  <c r="H163" i="6"/>
  <c r="H64" i="6"/>
  <c r="H179" i="6"/>
  <c r="H55" i="6"/>
  <c r="H136" i="6"/>
  <c r="H65" i="6"/>
  <c r="H171" i="6"/>
  <c r="H38" i="6"/>
  <c r="H107" i="6"/>
  <c r="M183" i="6"/>
  <c r="H168" i="6"/>
  <c r="H108" i="6"/>
  <c r="H118" i="6"/>
  <c r="H110" i="6"/>
  <c r="H176" i="6"/>
  <c r="H101" i="6"/>
  <c r="H172" i="6"/>
  <c r="H70" i="6"/>
  <c r="H77" i="6"/>
  <c r="H180" i="6"/>
  <c r="H21" i="6"/>
  <c r="H66" i="6"/>
  <c r="H145" i="6"/>
  <c r="H174" i="6"/>
  <c r="H24" i="6"/>
  <c r="H95" i="6"/>
  <c r="G206" i="21"/>
  <c r="H198" i="21"/>
  <c r="H197" i="21"/>
  <c r="M180" i="21"/>
  <c r="M176" i="21"/>
  <c r="M172" i="21"/>
  <c r="M168" i="21"/>
  <c r="M162" i="21"/>
  <c r="M158" i="21"/>
  <c r="M154" i="21"/>
  <c r="M150" i="21"/>
  <c r="M144" i="21"/>
  <c r="M138" i="21"/>
  <c r="M134" i="21"/>
  <c r="M129" i="21"/>
  <c r="M125" i="21"/>
  <c r="M121" i="21"/>
  <c r="M115" i="21"/>
  <c r="M109" i="21"/>
  <c r="M105" i="21"/>
  <c r="M99" i="21"/>
  <c r="M95" i="21"/>
  <c r="M89" i="21"/>
  <c r="M85" i="21"/>
  <c r="M81" i="21"/>
  <c r="M75" i="21"/>
  <c r="M71" i="21"/>
  <c r="M67" i="21"/>
  <c r="M63" i="21"/>
  <c r="M57" i="21"/>
  <c r="M53" i="21"/>
  <c r="M49" i="21"/>
  <c r="M45" i="21"/>
  <c r="M41" i="21"/>
  <c r="M37" i="21"/>
  <c r="M33" i="21"/>
  <c r="M29" i="21"/>
  <c r="M25" i="21"/>
  <c r="M21" i="21"/>
  <c r="H194" i="21"/>
  <c r="K14" i="21"/>
  <c r="M178" i="21"/>
  <c r="M174" i="21"/>
  <c r="M170" i="21"/>
  <c r="M164" i="21"/>
  <c r="M160" i="21"/>
  <c r="M156" i="21"/>
  <c r="M152" i="21"/>
  <c r="M146" i="21"/>
  <c r="M142" i="21"/>
  <c r="M136" i="21"/>
  <c r="M131" i="21"/>
  <c r="M127" i="21"/>
  <c r="M123" i="21"/>
  <c r="M117" i="21"/>
  <c r="M113" i="21"/>
  <c r="M107" i="21"/>
  <c r="M101" i="21"/>
  <c r="M97" i="21"/>
  <c r="M91" i="21"/>
  <c r="M87" i="21"/>
  <c r="M83" i="21"/>
  <c r="M77" i="21"/>
  <c r="M73" i="21"/>
  <c r="M69" i="21"/>
  <c r="M65" i="21"/>
  <c r="M61" i="21"/>
  <c r="M55" i="21"/>
  <c r="M51" i="21"/>
  <c r="M47" i="21"/>
  <c r="M43" i="21"/>
  <c r="M39" i="21"/>
  <c r="M35" i="21"/>
  <c r="M31" i="21"/>
  <c r="M27" i="21"/>
  <c r="M23" i="21"/>
  <c r="H196" i="21"/>
  <c r="M175" i="21"/>
  <c r="M167" i="21"/>
  <c r="M157" i="21"/>
  <c r="M147" i="21"/>
  <c r="M137" i="21"/>
  <c r="M128" i="21"/>
  <c r="M118" i="21"/>
  <c r="M108" i="21"/>
  <c r="M98" i="21"/>
  <c r="M88" i="21"/>
  <c r="M80" i="21"/>
  <c r="M70" i="21"/>
  <c r="M62" i="21"/>
  <c r="M52" i="21"/>
  <c r="M44" i="21"/>
  <c r="M36" i="21"/>
  <c r="M28" i="21"/>
  <c r="M181" i="21"/>
  <c r="M173" i="21"/>
  <c r="M163" i="21"/>
  <c r="M155" i="21"/>
  <c r="M145" i="21"/>
  <c r="M135" i="21"/>
  <c r="M126" i="21"/>
  <c r="M116" i="21"/>
  <c r="M106" i="21"/>
  <c r="M96" i="21"/>
  <c r="M86" i="21"/>
  <c r="M76" i="21"/>
  <c r="M68" i="21"/>
  <c r="M60" i="21"/>
  <c r="M50" i="21"/>
  <c r="M42" i="21"/>
  <c r="M34" i="21"/>
  <c r="M26" i="21"/>
  <c r="M183" i="21"/>
  <c r="M177" i="21"/>
  <c r="M159" i="21"/>
  <c r="M139" i="21"/>
  <c r="M122" i="21"/>
  <c r="M100" i="21"/>
  <c r="M82" i="21"/>
  <c r="M64" i="21"/>
  <c r="M46" i="21"/>
  <c r="M30" i="21"/>
  <c r="M169" i="21"/>
  <c r="M151" i="21"/>
  <c r="M130" i="21"/>
  <c r="M110" i="21"/>
  <c r="M90" i="21"/>
  <c r="M72" i="21"/>
  <c r="M54" i="21"/>
  <c r="M38" i="21"/>
  <c r="M22" i="21"/>
  <c r="M153" i="21"/>
  <c r="M74" i="21"/>
  <c r="M114" i="21"/>
  <c r="M40" i="21"/>
  <c r="M161" i="21"/>
  <c r="M84" i="21"/>
  <c r="M179" i="21"/>
  <c r="M104" i="21"/>
  <c r="M32" i="21"/>
  <c r="M66" i="21"/>
  <c r="M143" i="21"/>
  <c r="M171" i="21"/>
  <c r="M24" i="21"/>
  <c r="M48" i="21"/>
  <c r="M133" i="21"/>
  <c r="M92" i="21"/>
  <c r="M124" i="21"/>
  <c r="M56" i="21"/>
  <c r="G206" i="22"/>
  <c r="H198" i="22"/>
  <c r="H196" i="22"/>
  <c r="M181" i="22"/>
  <c r="M175" i="22"/>
  <c r="M170" i="22"/>
  <c r="M163" i="22"/>
  <c r="M157" i="22"/>
  <c r="M152" i="22"/>
  <c r="M145" i="22"/>
  <c r="M137" i="22"/>
  <c r="M131" i="22"/>
  <c r="M126" i="22"/>
  <c r="M118" i="22"/>
  <c r="M113" i="22"/>
  <c r="M106" i="22"/>
  <c r="M98" i="22"/>
  <c r="M91" i="22"/>
  <c r="M86" i="22"/>
  <c r="M80" i="22"/>
  <c r="M73" i="22"/>
  <c r="M68" i="22"/>
  <c r="M62" i="22"/>
  <c r="M55" i="22"/>
  <c r="M50" i="22"/>
  <c r="M44" i="22"/>
  <c r="M39" i="22"/>
  <c r="M34" i="22"/>
  <c r="M28" i="22"/>
  <c r="M23" i="22"/>
  <c r="H197" i="22"/>
  <c r="M168" i="22"/>
  <c r="M150" i="22"/>
  <c r="M129" i="22"/>
  <c r="M109" i="22"/>
  <c r="M89" i="22"/>
  <c r="M71" i="22"/>
  <c r="M53" i="22"/>
  <c r="M37" i="22"/>
  <c r="M21" i="22"/>
  <c r="H195" i="22"/>
  <c r="M178" i="22"/>
  <c r="M173" i="22"/>
  <c r="M167" i="22"/>
  <c r="M160" i="22"/>
  <c r="M155" i="22"/>
  <c r="M147" i="22"/>
  <c r="M142" i="22"/>
  <c r="M135" i="22"/>
  <c r="M128" i="22"/>
  <c r="M123" i="22"/>
  <c r="M116" i="22"/>
  <c r="M108" i="22"/>
  <c r="M101" i="22"/>
  <c r="M96" i="22"/>
  <c r="M88" i="22"/>
  <c r="M83" i="22"/>
  <c r="M76" i="22"/>
  <c r="M70" i="22"/>
  <c r="M65" i="22"/>
  <c r="M60" i="22"/>
  <c r="M52" i="22"/>
  <c r="M47" i="22"/>
  <c r="M42" i="22"/>
  <c r="M36" i="22"/>
  <c r="M31" i="22"/>
  <c r="M26" i="22"/>
  <c r="M176" i="22"/>
  <c r="M158" i="22"/>
  <c r="M138" i="22"/>
  <c r="M121" i="22"/>
  <c r="M99" i="22"/>
  <c r="M81" i="22"/>
  <c r="M63" i="22"/>
  <c r="M45" i="22"/>
  <c r="M29" i="22"/>
  <c r="M180" i="22"/>
  <c r="M144" i="22"/>
  <c r="M105" i="22"/>
  <c r="M67" i="22"/>
  <c r="M33" i="22"/>
  <c r="M162" i="22"/>
  <c r="M125" i="22"/>
  <c r="M85" i="22"/>
  <c r="M49" i="22"/>
  <c r="M17" i="22"/>
  <c r="M174" i="22"/>
  <c r="M161" i="22"/>
  <c r="M151" i="22"/>
  <c r="M136" i="22"/>
  <c r="M124" i="22"/>
  <c r="M110" i="22"/>
  <c r="M97" i="22"/>
  <c r="M84" i="22"/>
  <c r="M72" i="22"/>
  <c r="M61" i="22"/>
  <c r="M48" i="22"/>
  <c r="M38" i="22"/>
  <c r="M27" i="22"/>
  <c r="M171" i="22"/>
  <c r="M159" i="22"/>
  <c r="M146" i="22"/>
  <c r="M133" i="22"/>
  <c r="M122" i="22"/>
  <c r="M107" i="22"/>
  <c r="M92" i="22"/>
  <c r="M82" i="22"/>
  <c r="M69" i="22"/>
  <c r="M56" i="22"/>
  <c r="M46" i="22"/>
  <c r="M35" i="22"/>
  <c r="M24" i="22"/>
  <c r="H194" i="22"/>
  <c r="M134" i="22"/>
  <c r="M57" i="22"/>
  <c r="M179" i="22"/>
  <c r="M156" i="22"/>
  <c r="M104" i="22"/>
  <c r="M77" i="22"/>
  <c r="M54" i="22"/>
  <c r="M172" i="22"/>
  <c r="M95" i="22"/>
  <c r="M25" i="22"/>
  <c r="K14" i="22"/>
  <c r="M115" i="22"/>
  <c r="M41" i="22"/>
  <c r="M169" i="22"/>
  <c r="M143" i="22"/>
  <c r="M117" i="22"/>
  <c r="M90" i="22"/>
  <c r="M66" i="22"/>
  <c r="M43" i="22"/>
  <c r="M22" i="22"/>
  <c r="M164" i="22"/>
  <c r="M139" i="22"/>
  <c r="M114" i="22"/>
  <c r="M87" i="22"/>
  <c r="M64" i="22"/>
  <c r="M40" i="22"/>
  <c r="M130" i="22"/>
  <c r="M32" i="22"/>
  <c r="M153" i="22"/>
  <c r="M51" i="22"/>
  <c r="M127" i="22"/>
  <c r="M100" i="22"/>
  <c r="M74" i="22"/>
  <c r="M75" i="22"/>
  <c r="M177" i="22"/>
  <c r="M154" i="22"/>
  <c r="M30" i="22"/>
  <c r="H77" i="19"/>
  <c r="H57" i="6"/>
  <c r="M147" i="23"/>
  <c r="G198" i="13"/>
  <c r="M57" i="7"/>
  <c r="G190" i="19"/>
  <c r="H17" i="13"/>
  <c r="G190" i="13"/>
  <c r="H15" i="13"/>
  <c r="H12" i="13"/>
  <c r="H16" i="13"/>
  <c r="H13" i="13"/>
  <c r="K12" i="13"/>
  <c r="H14" i="13"/>
  <c r="H183" i="11"/>
  <c r="G190" i="11"/>
  <c r="H181" i="11"/>
  <c r="H177" i="11"/>
  <c r="H173" i="11"/>
  <c r="H169" i="11"/>
  <c r="H163" i="11"/>
  <c r="H159" i="11"/>
  <c r="H155" i="11"/>
  <c r="H151" i="11"/>
  <c r="H145" i="11"/>
  <c r="H139" i="11"/>
  <c r="H135" i="11"/>
  <c r="H130" i="11"/>
  <c r="H126" i="11"/>
  <c r="H122" i="11"/>
  <c r="H116" i="11"/>
  <c r="H110" i="11"/>
  <c r="H106" i="11"/>
  <c r="H100" i="11"/>
  <c r="H96" i="11"/>
  <c r="H90" i="11"/>
  <c r="H86" i="11"/>
  <c r="H82" i="11"/>
  <c r="H76" i="11"/>
  <c r="H72" i="11"/>
  <c r="H68" i="11"/>
  <c r="H64" i="11"/>
  <c r="H60" i="11"/>
  <c r="H54" i="11"/>
  <c r="H50" i="11"/>
  <c r="H46" i="11"/>
  <c r="H42" i="11"/>
  <c r="H38" i="11"/>
  <c r="H34" i="11"/>
  <c r="H30" i="11"/>
  <c r="H26" i="11"/>
  <c r="H22" i="11"/>
  <c r="H180" i="11"/>
  <c r="H176" i="11"/>
  <c r="H172" i="11"/>
  <c r="H168" i="11"/>
  <c r="H162" i="11"/>
  <c r="H158" i="11"/>
  <c r="H154" i="11"/>
  <c r="H150" i="11"/>
  <c r="H144" i="11"/>
  <c r="H138" i="11"/>
  <c r="H134" i="11"/>
  <c r="H129" i="11"/>
  <c r="H125" i="11"/>
  <c r="H121" i="11"/>
  <c r="H115" i="11"/>
  <c r="H109" i="11"/>
  <c r="H105" i="11"/>
  <c r="H99" i="11"/>
  <c r="H95" i="11"/>
  <c r="H89" i="11"/>
  <c r="H85" i="11"/>
  <c r="H81" i="11"/>
  <c r="H75" i="11"/>
  <c r="H71" i="11"/>
  <c r="H67" i="11"/>
  <c r="H63" i="11"/>
  <c r="H57" i="11"/>
  <c r="H53" i="11"/>
  <c r="H49" i="11"/>
  <c r="H45" i="11"/>
  <c r="H41" i="11"/>
  <c r="H37" i="11"/>
  <c r="H33" i="11"/>
  <c r="H29" i="11"/>
  <c r="H25" i="11"/>
  <c r="H21" i="11"/>
  <c r="H175" i="11"/>
  <c r="H131" i="11"/>
  <c r="H118" i="11"/>
  <c r="H91" i="11"/>
  <c r="H80" i="11"/>
  <c r="H55" i="11"/>
  <c r="H39" i="11"/>
  <c r="H28" i="11"/>
  <c r="H178" i="11"/>
  <c r="H167" i="11"/>
  <c r="H160" i="11"/>
  <c r="H147" i="11"/>
  <c r="H142" i="11"/>
  <c r="H128" i="11"/>
  <c r="H123" i="11"/>
  <c r="H108" i="11"/>
  <c r="H101" i="11"/>
  <c r="H88" i="11"/>
  <c r="H83" i="11"/>
  <c r="H70" i="11"/>
  <c r="H65" i="11"/>
  <c r="H52" i="11"/>
  <c r="H47" i="11"/>
  <c r="H36" i="11"/>
  <c r="H31" i="11"/>
  <c r="H171" i="11"/>
  <c r="H164" i="11"/>
  <c r="H153" i="11"/>
  <c r="H146" i="11"/>
  <c r="H133" i="11"/>
  <c r="H127" i="11"/>
  <c r="H114" i="11"/>
  <c r="H107" i="11"/>
  <c r="H92" i="11"/>
  <c r="H87" i="11"/>
  <c r="H74" i="11"/>
  <c r="H69" i="11"/>
  <c r="H56" i="11"/>
  <c r="H51" i="11"/>
  <c r="H40" i="11"/>
  <c r="H35" i="11"/>
  <c r="H24" i="11"/>
  <c r="K13" i="11"/>
  <c r="H170" i="11"/>
  <c r="H157" i="11"/>
  <c r="H152" i="11"/>
  <c r="H137" i="11"/>
  <c r="H113" i="11"/>
  <c r="H98" i="11"/>
  <c r="H73" i="11"/>
  <c r="H62" i="11"/>
  <c r="H44" i="11"/>
  <c r="H23" i="11"/>
  <c r="H143" i="11"/>
  <c r="H43" i="11"/>
  <c r="H174" i="11"/>
  <c r="H124" i="11"/>
  <c r="H27" i="11"/>
  <c r="H156" i="11"/>
  <c r="H104" i="11"/>
  <c r="H117" i="11"/>
  <c r="H66" i="11"/>
  <c r="H32" i="11"/>
  <c r="H136" i="11"/>
  <c r="H97" i="11"/>
  <c r="H48" i="11"/>
  <c r="H179" i="11"/>
  <c r="H77" i="11"/>
  <c r="H161" i="11"/>
  <c r="H61" i="11"/>
  <c r="H84" i="11"/>
  <c r="H181" i="19"/>
  <c r="H198" i="5"/>
  <c r="G206" i="5"/>
  <c r="M183" i="5"/>
  <c r="H196" i="5"/>
  <c r="H195" i="5"/>
  <c r="M179" i="5"/>
  <c r="M175" i="5"/>
  <c r="M171" i="5"/>
  <c r="M167" i="5"/>
  <c r="M161" i="5"/>
  <c r="M157" i="5"/>
  <c r="M153" i="5"/>
  <c r="M147" i="5"/>
  <c r="M143" i="5"/>
  <c r="M137" i="5"/>
  <c r="M133" i="5"/>
  <c r="M128" i="5"/>
  <c r="M124" i="5"/>
  <c r="M118" i="5"/>
  <c r="M114" i="5"/>
  <c r="M108" i="5"/>
  <c r="M104" i="5"/>
  <c r="M98" i="5"/>
  <c r="M92" i="5"/>
  <c r="M88" i="5"/>
  <c r="M84" i="5"/>
  <c r="M80" i="5"/>
  <c r="M74" i="5"/>
  <c r="M70" i="5"/>
  <c r="M66" i="5"/>
  <c r="M62" i="5"/>
  <c r="M56" i="5"/>
  <c r="M52" i="5"/>
  <c r="M48" i="5"/>
  <c r="M44" i="5"/>
  <c r="M40" i="5"/>
  <c r="M36" i="5"/>
  <c r="M32" i="5"/>
  <c r="M28" i="5"/>
  <c r="M24" i="5"/>
  <c r="M178" i="5"/>
  <c r="M174" i="5"/>
  <c r="M170" i="5"/>
  <c r="M164" i="5"/>
  <c r="M160" i="5"/>
  <c r="M156" i="5"/>
  <c r="M152" i="5"/>
  <c r="M146" i="5"/>
  <c r="M142" i="5"/>
  <c r="M136" i="5"/>
  <c r="M131" i="5"/>
  <c r="M127" i="5"/>
  <c r="M123" i="5"/>
  <c r="M117" i="5"/>
  <c r="M113" i="5"/>
  <c r="M107" i="5"/>
  <c r="M101" i="5"/>
  <c r="M97" i="5"/>
  <c r="M91" i="5"/>
  <c r="M87" i="5"/>
  <c r="M83" i="5"/>
  <c r="M77" i="5"/>
  <c r="M73" i="5"/>
  <c r="M69" i="5"/>
  <c r="M65" i="5"/>
  <c r="M61" i="5"/>
  <c r="M55" i="5"/>
  <c r="M51" i="5"/>
  <c r="M47" i="5"/>
  <c r="M43" i="5"/>
  <c r="M39" i="5"/>
  <c r="M35" i="5"/>
  <c r="M31" i="5"/>
  <c r="M27" i="5"/>
  <c r="M23" i="5"/>
  <c r="M17" i="5"/>
  <c r="H197" i="5"/>
  <c r="M177" i="5"/>
  <c r="M172" i="5"/>
  <c r="M159" i="5"/>
  <c r="M154" i="5"/>
  <c r="M139" i="5"/>
  <c r="M134" i="5"/>
  <c r="M122" i="5"/>
  <c r="M115" i="5"/>
  <c r="M100" i="5"/>
  <c r="M95" i="5"/>
  <c r="M82" i="5"/>
  <c r="M75" i="5"/>
  <c r="M64" i="5"/>
  <c r="M57" i="5"/>
  <c r="M46" i="5"/>
  <c r="M41" i="5"/>
  <c r="M30" i="5"/>
  <c r="M25" i="5"/>
  <c r="K14" i="5"/>
  <c r="H194" i="5"/>
  <c r="M180" i="5"/>
  <c r="M169" i="5"/>
  <c r="M162" i="5"/>
  <c r="M151" i="5"/>
  <c r="M144" i="5"/>
  <c r="M130" i="5"/>
  <c r="M125" i="5"/>
  <c r="M110" i="5"/>
  <c r="M105" i="5"/>
  <c r="M90" i="5"/>
  <c r="M85" i="5"/>
  <c r="M72" i="5"/>
  <c r="M67" i="5"/>
  <c r="M54" i="5"/>
  <c r="M49" i="5"/>
  <c r="M38" i="5"/>
  <c r="M33" i="5"/>
  <c r="M22" i="5"/>
  <c r="M181" i="5"/>
  <c r="M168" i="5"/>
  <c r="M145" i="5"/>
  <c r="M129" i="5"/>
  <c r="M106" i="5"/>
  <c r="M89" i="5"/>
  <c r="M68" i="5"/>
  <c r="M53" i="5"/>
  <c r="M34" i="5"/>
  <c r="M21" i="5"/>
  <c r="M173" i="5"/>
  <c r="M158" i="5"/>
  <c r="M135" i="5"/>
  <c r="M121" i="5"/>
  <c r="M96" i="5"/>
  <c r="M81" i="5"/>
  <c r="M60" i="5"/>
  <c r="M45" i="5"/>
  <c r="M26" i="5"/>
  <c r="M116" i="5"/>
  <c r="M42" i="5"/>
  <c r="M155" i="5"/>
  <c r="M76" i="5"/>
  <c r="M37" i="5"/>
  <c r="M109" i="5"/>
  <c r="M176" i="5"/>
  <c r="M126" i="5"/>
  <c r="M99" i="5"/>
  <c r="M50" i="5"/>
  <c r="M29" i="5"/>
  <c r="M150" i="5"/>
  <c r="M138" i="5"/>
  <c r="M163" i="5"/>
  <c r="M63" i="5"/>
  <c r="M86" i="5"/>
  <c r="M71" i="5"/>
  <c r="H57" i="13"/>
  <c r="M183" i="7"/>
  <c r="G206" i="35"/>
  <c r="H198" i="35"/>
  <c r="K14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77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92" i="35"/>
  <c r="M81" i="35"/>
  <c r="M82" i="35"/>
  <c r="M83" i="35"/>
  <c r="M84" i="35"/>
  <c r="M85" i="35"/>
  <c r="M86" i="35"/>
  <c r="M87" i="35"/>
  <c r="M88" i="35"/>
  <c r="M89" i="35"/>
  <c r="M90" i="35"/>
  <c r="M91" i="35"/>
  <c r="M101" i="35"/>
  <c r="M96" i="35"/>
  <c r="M97" i="35"/>
  <c r="M98" i="35"/>
  <c r="M99" i="35"/>
  <c r="M100" i="35"/>
  <c r="M110" i="35"/>
  <c r="M105" i="35"/>
  <c r="M106" i="35"/>
  <c r="M107" i="35"/>
  <c r="M108" i="35"/>
  <c r="M109" i="35"/>
  <c r="M118" i="35"/>
  <c r="M114" i="35"/>
  <c r="M115" i="35"/>
  <c r="M116" i="35"/>
  <c r="M117" i="35"/>
  <c r="M122" i="35"/>
  <c r="M123" i="35"/>
  <c r="M124" i="35"/>
  <c r="M125" i="35"/>
  <c r="M126" i="35"/>
  <c r="M127" i="35"/>
  <c r="M139" i="35"/>
  <c r="M128" i="35"/>
  <c r="M129" i="35"/>
  <c r="M130" i="35"/>
  <c r="M131" i="35"/>
  <c r="M133" i="35"/>
  <c r="M134" i="35"/>
  <c r="M135" i="35"/>
  <c r="M136" i="35"/>
  <c r="M137" i="35"/>
  <c r="M138" i="35"/>
  <c r="M147" i="35"/>
  <c r="M143" i="35"/>
  <c r="M144" i="35"/>
  <c r="M145" i="35"/>
  <c r="M146" i="35"/>
  <c r="M164" i="35"/>
  <c r="M151" i="35"/>
  <c r="M152" i="35"/>
  <c r="M153" i="35"/>
  <c r="M154" i="35"/>
  <c r="M155" i="35"/>
  <c r="M156" i="35"/>
  <c r="M157" i="35"/>
  <c r="M158" i="35"/>
  <c r="M159" i="35"/>
  <c r="M160" i="35"/>
  <c r="M161" i="35"/>
  <c r="M162" i="35"/>
  <c r="M163" i="35"/>
  <c r="M181" i="35"/>
  <c r="M168" i="35"/>
  <c r="M169" i="35"/>
  <c r="M170" i="35"/>
  <c r="M171" i="35"/>
  <c r="M172" i="35"/>
  <c r="M173" i="35"/>
  <c r="M174" i="35"/>
  <c r="M175" i="35"/>
  <c r="M176" i="35"/>
  <c r="M177" i="35"/>
  <c r="M178" i="35"/>
  <c r="M179" i="35"/>
  <c r="M180" i="35"/>
  <c r="H195" i="35"/>
  <c r="H196" i="35"/>
  <c r="H197" i="35"/>
  <c r="M167" i="35"/>
  <c r="M150" i="35"/>
  <c r="M142" i="35"/>
  <c r="M121" i="35"/>
  <c r="M113" i="35"/>
  <c r="M104" i="35"/>
  <c r="M95" i="35"/>
  <c r="M80" i="35"/>
  <c r="M60" i="35"/>
  <c r="M57" i="35"/>
  <c r="M21" i="35"/>
  <c r="M17" i="35"/>
  <c r="M183" i="35"/>
  <c r="C183" i="14"/>
  <c r="C190" i="14" s="1"/>
  <c r="D183" i="14"/>
  <c r="D190" i="14" s="1"/>
  <c r="E183" i="14"/>
  <c r="E190" i="14" s="1"/>
  <c r="N12" i="35" l="1"/>
  <c r="N12" i="36"/>
  <c r="N15" i="35"/>
  <c r="N15" i="36"/>
  <c r="N13" i="35"/>
  <c r="N13" i="36"/>
  <c r="M172" i="11"/>
  <c r="H194" i="11"/>
  <c r="M122" i="11"/>
  <c r="M146" i="11"/>
  <c r="M88" i="11"/>
  <c r="M190" i="24"/>
  <c r="M21" i="11"/>
  <c r="M110" i="25"/>
  <c r="M156" i="11"/>
  <c r="M162" i="25"/>
  <c r="M142" i="25"/>
  <c r="M180" i="11"/>
  <c r="M32" i="11"/>
  <c r="M144" i="11"/>
  <c r="M162" i="11"/>
  <c r="M70" i="25"/>
  <c r="M139" i="11"/>
  <c r="M91" i="11"/>
  <c r="M29" i="25"/>
  <c r="M150" i="11"/>
  <c r="M107" i="11"/>
  <c r="M42" i="11"/>
  <c r="M44" i="11"/>
  <c r="M171" i="11"/>
  <c r="M101" i="11"/>
  <c r="M124" i="25"/>
  <c r="M17" i="11"/>
  <c r="M82" i="11"/>
  <c r="M63" i="11"/>
  <c r="M108" i="11"/>
  <c r="M113" i="11"/>
  <c r="M45" i="11"/>
  <c r="M60" i="25"/>
  <c r="M109" i="11"/>
  <c r="M37" i="11"/>
  <c r="M158" i="11"/>
  <c r="M142" i="11"/>
  <c r="M145" i="11"/>
  <c r="M108" i="25"/>
  <c r="M48" i="11"/>
  <c r="M106" i="11"/>
  <c r="M96" i="25"/>
  <c r="M46" i="11"/>
  <c r="M87" i="11"/>
  <c r="M134" i="11"/>
  <c r="M67" i="11"/>
  <c r="H198" i="11"/>
  <c r="M99" i="25"/>
  <c r="M72" i="25"/>
  <c r="M136" i="11"/>
  <c r="M110" i="11"/>
  <c r="M35" i="11"/>
  <c r="M104" i="11"/>
  <c r="M29" i="11"/>
  <c r="M154" i="11"/>
  <c r="M96" i="11"/>
  <c r="M105" i="11"/>
  <c r="M98" i="11"/>
  <c r="M144" i="25"/>
  <c r="M150" i="25"/>
  <c r="M156" i="25"/>
  <c r="M127" i="11"/>
  <c r="M164" i="11"/>
  <c r="M100" i="11"/>
  <c r="M124" i="11"/>
  <c r="M176" i="11"/>
  <c r="M47" i="11"/>
  <c r="M147" i="11"/>
  <c r="M50" i="11"/>
  <c r="M152" i="11"/>
  <c r="M183" i="11"/>
  <c r="M32" i="25"/>
  <c r="M31" i="25"/>
  <c r="M178" i="25"/>
  <c r="M143" i="11"/>
  <c r="M179" i="11"/>
  <c r="H197" i="11"/>
  <c r="M159" i="11"/>
  <c r="M25" i="11"/>
  <c r="M52" i="11"/>
  <c r="M155" i="11"/>
  <c r="M55" i="11"/>
  <c r="M157" i="11"/>
  <c r="M104" i="25"/>
  <c r="M65" i="25"/>
  <c r="M177" i="11"/>
  <c r="M51" i="11"/>
  <c r="M38" i="11"/>
  <c r="M174" i="11"/>
  <c r="M41" i="11"/>
  <c r="M60" i="11"/>
  <c r="M160" i="11"/>
  <c r="M62" i="11"/>
  <c r="M163" i="11"/>
  <c r="M39" i="25"/>
  <c r="M66" i="25"/>
  <c r="M56" i="25"/>
  <c r="M38" i="25"/>
  <c r="M117" i="25"/>
  <c r="M84" i="11"/>
  <c r="M90" i="11"/>
  <c r="M153" i="11"/>
  <c r="M130" i="11"/>
  <c r="M161" i="11"/>
  <c r="M168" i="11"/>
  <c r="M71" i="11"/>
  <c r="M89" i="11"/>
  <c r="M125" i="11"/>
  <c r="M138" i="11"/>
  <c r="M115" i="11"/>
  <c r="M36" i="11"/>
  <c r="M83" i="11"/>
  <c r="M135" i="11"/>
  <c r="H195" i="11"/>
  <c r="M39" i="11"/>
  <c r="M86" i="11"/>
  <c r="M137" i="11"/>
  <c r="H196" i="11"/>
  <c r="M124" i="10"/>
  <c r="K14" i="10"/>
  <c r="M157" i="25"/>
  <c r="M51" i="25"/>
  <c r="M121" i="25"/>
  <c r="M135" i="25"/>
  <c r="M169" i="11"/>
  <c r="M30" i="11"/>
  <c r="M22" i="11"/>
  <c r="M64" i="11"/>
  <c r="M61" i="11"/>
  <c r="M97" i="11"/>
  <c r="M69" i="11"/>
  <c r="M27" i="11"/>
  <c r="M33" i="11"/>
  <c r="M81" i="11"/>
  <c r="M57" i="11"/>
  <c r="K14" i="11"/>
  <c r="M65" i="11"/>
  <c r="M116" i="11"/>
  <c r="M167" i="11"/>
  <c r="M23" i="11"/>
  <c r="M68" i="11"/>
  <c r="M118" i="11"/>
  <c r="M170" i="11"/>
  <c r="M89" i="10"/>
  <c r="M37" i="10"/>
  <c r="M81" i="10"/>
  <c r="M43" i="25"/>
  <c r="M87" i="25"/>
  <c r="M153" i="25"/>
  <c r="M151" i="25"/>
  <c r="M24" i="11"/>
  <c r="M43" i="11"/>
  <c r="M66" i="11"/>
  <c r="M77" i="11"/>
  <c r="M92" i="11"/>
  <c r="M133" i="11"/>
  <c r="M40" i="11"/>
  <c r="M56" i="11"/>
  <c r="M49" i="11"/>
  <c r="M99" i="11"/>
  <c r="M75" i="11"/>
  <c r="M26" i="11"/>
  <c r="M70" i="11"/>
  <c r="M123" i="11"/>
  <c r="M173" i="11"/>
  <c r="M28" i="11"/>
  <c r="M73" i="11"/>
  <c r="M126" i="11"/>
  <c r="M175" i="11"/>
  <c r="M123" i="10"/>
  <c r="M44" i="25"/>
  <c r="M35" i="25"/>
  <c r="M24" i="25"/>
  <c r="M26" i="25"/>
  <c r="M173" i="25"/>
  <c r="M53" i="11"/>
  <c r="M74" i="11"/>
  <c r="M117" i="11"/>
  <c r="M114" i="11"/>
  <c r="M129" i="11"/>
  <c r="M151" i="11"/>
  <c r="M54" i="11"/>
  <c r="M72" i="11"/>
  <c r="M85" i="11"/>
  <c r="M121" i="11"/>
  <c r="M95" i="11"/>
  <c r="M31" i="11"/>
  <c r="M76" i="11"/>
  <c r="M128" i="11"/>
  <c r="M178" i="11"/>
  <c r="M34" i="11"/>
  <c r="M80" i="11"/>
  <c r="M131" i="11"/>
  <c r="M181" i="11"/>
  <c r="M36" i="10"/>
  <c r="M134" i="10"/>
  <c r="M86" i="10"/>
  <c r="M131" i="10"/>
  <c r="H195" i="10"/>
  <c r="M26" i="10"/>
  <c r="M71" i="10"/>
  <c r="M136" i="10"/>
  <c r="G206" i="10"/>
  <c r="M116" i="10"/>
  <c r="M90" i="10"/>
  <c r="M47" i="10"/>
  <c r="M48" i="10"/>
  <c r="M44" i="10"/>
  <c r="M100" i="10"/>
  <c r="M105" i="10"/>
  <c r="M55" i="10"/>
  <c r="M108" i="10"/>
  <c r="M72" i="10"/>
  <c r="M177" i="10"/>
  <c r="M63" i="10"/>
  <c r="M61" i="10"/>
  <c r="M118" i="10"/>
  <c r="M126" i="10"/>
  <c r="M66" i="10"/>
  <c r="M46" i="10"/>
  <c r="M109" i="10"/>
  <c r="M151" i="10"/>
  <c r="M138" i="10"/>
  <c r="M173" i="10"/>
  <c r="M83" i="10"/>
  <c r="M160" i="10"/>
  <c r="M70" i="10"/>
  <c r="M147" i="10"/>
  <c r="M96" i="10"/>
  <c r="M168" i="10"/>
  <c r="M143" i="10"/>
  <c r="N13" i="19"/>
  <c r="M122" i="10"/>
  <c r="M22" i="10"/>
  <c r="M169" i="10"/>
  <c r="M158" i="10"/>
  <c r="M23" i="10"/>
  <c r="M91" i="10"/>
  <c r="M170" i="10"/>
  <c r="M80" i="10"/>
  <c r="M157" i="10"/>
  <c r="M144" i="10"/>
  <c r="M77" i="10"/>
  <c r="M172" i="10"/>
  <c r="M33" i="10"/>
  <c r="M180" i="10"/>
  <c r="M163" i="10"/>
  <c r="M27" i="10"/>
  <c r="M97" i="10"/>
  <c r="M174" i="10"/>
  <c r="M84" i="10"/>
  <c r="M161" i="10"/>
  <c r="G208" i="19"/>
  <c r="M25" i="10"/>
  <c r="M156" i="10"/>
  <c r="M75" i="10"/>
  <c r="M82" i="10"/>
  <c r="M67" i="10"/>
  <c r="M50" i="10"/>
  <c r="M21" i="10"/>
  <c r="M43" i="10"/>
  <c r="M117" i="10"/>
  <c r="M32" i="10"/>
  <c r="M104" i="10"/>
  <c r="M179" i="10"/>
  <c r="M107" i="25"/>
  <c r="M175" i="25"/>
  <c r="M41" i="25"/>
  <c r="M69" i="25"/>
  <c r="M53" i="25"/>
  <c r="M77" i="25"/>
  <c r="M81" i="25"/>
  <c r="M62" i="25"/>
  <c r="M33" i="25"/>
  <c r="M129" i="25"/>
  <c r="M40" i="25"/>
  <c r="M133" i="25"/>
  <c r="M30" i="25"/>
  <c r="M64" i="25"/>
  <c r="M100" i="25"/>
  <c r="M139" i="25"/>
  <c r="M177" i="25"/>
  <c r="M146" i="25"/>
  <c r="H198" i="25"/>
  <c r="H195" i="25"/>
  <c r="M95" i="25"/>
  <c r="M91" i="25"/>
  <c r="M89" i="25"/>
  <c r="M55" i="25"/>
  <c r="M88" i="25"/>
  <c r="M97" i="25"/>
  <c r="M71" i="25"/>
  <c r="M47" i="25"/>
  <c r="M143" i="25"/>
  <c r="M49" i="25"/>
  <c r="M138" i="25"/>
  <c r="M34" i="25"/>
  <c r="M68" i="25"/>
  <c r="M106" i="25"/>
  <c r="M145" i="25"/>
  <c r="M181" i="25"/>
  <c r="M152" i="25"/>
  <c r="G206" i="25"/>
  <c r="M48" i="25"/>
  <c r="M115" i="25"/>
  <c r="M52" i="25"/>
  <c r="M75" i="25"/>
  <c r="M27" i="25"/>
  <c r="H194" i="25"/>
  <c r="M67" i="25"/>
  <c r="M161" i="25"/>
  <c r="M158" i="25"/>
  <c r="M42" i="25"/>
  <c r="M76" i="25"/>
  <c r="M116" i="25"/>
  <c r="M155" i="25"/>
  <c r="M123" i="25"/>
  <c r="M160" i="25"/>
  <c r="M57" i="25"/>
  <c r="M113" i="25"/>
  <c r="M21" i="25"/>
  <c r="M128" i="25"/>
  <c r="M63" i="25"/>
  <c r="M134" i="25"/>
  <c r="M36" i="25"/>
  <c r="M17" i="25"/>
  <c r="M109" i="25"/>
  <c r="M83" i="25"/>
  <c r="M168" i="25"/>
  <c r="M85" i="25"/>
  <c r="M171" i="25"/>
  <c r="M46" i="25"/>
  <c r="M82" i="25"/>
  <c r="M122" i="25"/>
  <c r="M159" i="25"/>
  <c r="M127" i="25"/>
  <c r="M164" i="25"/>
  <c r="M180" i="25"/>
  <c r="M74" i="25"/>
  <c r="M25" i="25"/>
  <c r="M125" i="25"/>
  <c r="M80" i="25"/>
  <c r="M154" i="25"/>
  <c r="M84" i="25"/>
  <c r="M147" i="25"/>
  <c r="M45" i="25"/>
  <c r="M28" i="25"/>
  <c r="H196" i="25"/>
  <c r="M92" i="25"/>
  <c r="M179" i="25"/>
  <c r="M101" i="25"/>
  <c r="M176" i="25"/>
  <c r="M50" i="25"/>
  <c r="M86" i="25"/>
  <c r="M126" i="25"/>
  <c r="M163" i="25"/>
  <c r="M131" i="25"/>
  <c r="M170" i="25"/>
  <c r="M98" i="25"/>
  <c r="M73" i="25"/>
  <c r="M137" i="25"/>
  <c r="M23" i="25"/>
  <c r="M167" i="25"/>
  <c r="M118" i="25"/>
  <c r="M172" i="25"/>
  <c r="M61" i="25"/>
  <c r="M37" i="25"/>
  <c r="K14" i="25"/>
  <c r="M105" i="25"/>
  <c r="H197" i="25"/>
  <c r="M114" i="25"/>
  <c r="M22" i="25"/>
  <c r="M54" i="25"/>
  <c r="M90" i="25"/>
  <c r="M130" i="25"/>
  <c r="M169" i="25"/>
  <c r="M136" i="25"/>
  <c r="M174" i="25"/>
  <c r="K15" i="14"/>
  <c r="N13" i="13"/>
  <c r="M154" i="10"/>
  <c r="M95" i="10"/>
  <c r="M159" i="10"/>
  <c r="M135" i="10"/>
  <c r="M85" i="10"/>
  <c r="M162" i="10"/>
  <c r="M68" i="10"/>
  <c r="M145" i="10"/>
  <c r="M76" i="10"/>
  <c r="M17" i="10"/>
  <c r="M51" i="10"/>
  <c r="M87" i="10"/>
  <c r="M127" i="10"/>
  <c r="M164" i="10"/>
  <c r="M40" i="10"/>
  <c r="M74" i="10"/>
  <c r="M114" i="10"/>
  <c r="M153" i="10"/>
  <c r="H196" i="10"/>
  <c r="M41" i="10"/>
  <c r="M139" i="10"/>
  <c r="M42" i="10"/>
  <c r="M38" i="10"/>
  <c r="M110" i="10"/>
  <c r="M29" i="10"/>
  <c r="M99" i="10"/>
  <c r="M176" i="10"/>
  <c r="M129" i="10"/>
  <c r="M31" i="10"/>
  <c r="M65" i="10"/>
  <c r="M101" i="10"/>
  <c r="M142" i="10"/>
  <c r="M178" i="10"/>
  <c r="M52" i="10"/>
  <c r="M88" i="10"/>
  <c r="M128" i="10"/>
  <c r="M167" i="10"/>
  <c r="M64" i="10"/>
  <c r="H197" i="10"/>
  <c r="M53" i="10"/>
  <c r="M49" i="10"/>
  <c r="M125" i="10"/>
  <c r="M34" i="10"/>
  <c r="M106" i="10"/>
  <c r="M181" i="10"/>
  <c r="M150" i="10"/>
  <c r="M35" i="10"/>
  <c r="M69" i="10"/>
  <c r="M107" i="10"/>
  <c r="M146" i="10"/>
  <c r="M24" i="10"/>
  <c r="M56" i="10"/>
  <c r="M92" i="10"/>
  <c r="M133" i="10"/>
  <c r="M171" i="10"/>
  <c r="M30" i="10"/>
  <c r="M115" i="10"/>
  <c r="M57" i="10"/>
  <c r="M60" i="10"/>
  <c r="M54" i="10"/>
  <c r="M130" i="10"/>
  <c r="M45" i="10"/>
  <c r="M121" i="10"/>
  <c r="H194" i="10"/>
  <c r="M155" i="10"/>
  <c r="M39" i="10"/>
  <c r="M73" i="10"/>
  <c r="M113" i="10"/>
  <c r="M152" i="10"/>
  <c r="M28" i="10"/>
  <c r="M62" i="10"/>
  <c r="M98" i="10"/>
  <c r="M137" i="10"/>
  <c r="M175" i="10"/>
  <c r="N12" i="23"/>
  <c r="N12" i="20"/>
  <c r="N12" i="24"/>
  <c r="K14" i="14"/>
  <c r="I12" i="14"/>
  <c r="K17" i="14"/>
  <c r="K12" i="14"/>
  <c r="N13" i="25"/>
  <c r="G208" i="20"/>
  <c r="N12" i="25"/>
  <c r="N13" i="5"/>
  <c r="N12" i="13"/>
  <c r="N13" i="23"/>
  <c r="N12" i="6"/>
  <c r="N12" i="5"/>
  <c r="N13" i="20"/>
  <c r="N13" i="27"/>
  <c r="N12" i="19"/>
  <c r="N13" i="10"/>
  <c r="E208" i="14"/>
  <c r="N15" i="23"/>
  <c r="N15" i="11"/>
  <c r="N15" i="5"/>
  <c r="E208" i="21"/>
  <c r="N15" i="19"/>
  <c r="N15" i="21"/>
  <c r="N15" i="7"/>
  <c r="N15" i="13"/>
  <c r="N15" i="6"/>
  <c r="N15" i="10"/>
  <c r="N15" i="22"/>
  <c r="N15" i="25"/>
  <c r="N15" i="20"/>
  <c r="N15" i="27"/>
  <c r="N15" i="24"/>
  <c r="M183" i="10"/>
  <c r="K16" i="14"/>
  <c r="M190" i="21"/>
  <c r="N12" i="10"/>
  <c r="N13" i="24"/>
  <c r="G183" i="14"/>
  <c r="K57" i="14" s="1"/>
  <c r="N12" i="21"/>
  <c r="N12" i="11"/>
  <c r="N13" i="11"/>
  <c r="N13" i="22"/>
  <c r="N13" i="21"/>
  <c r="N12" i="27"/>
  <c r="N12" i="7"/>
  <c r="N13" i="7"/>
  <c r="N12" i="22"/>
  <c r="N13" i="6"/>
  <c r="M183" i="13"/>
  <c r="G208" i="35"/>
  <c r="M190" i="6"/>
  <c r="G206" i="11"/>
  <c r="M190" i="23"/>
  <c r="G207" i="11"/>
  <c r="K16" i="11"/>
  <c r="M190" i="7"/>
  <c r="G208" i="6"/>
  <c r="M190" i="5"/>
  <c r="M190" i="27"/>
  <c r="H177" i="10"/>
  <c r="H169" i="10"/>
  <c r="H159" i="10"/>
  <c r="H151" i="10"/>
  <c r="H139" i="10"/>
  <c r="H130" i="10"/>
  <c r="H122" i="10"/>
  <c r="H110" i="10"/>
  <c r="H100" i="10"/>
  <c r="H90" i="10"/>
  <c r="H82" i="10"/>
  <c r="H72" i="10"/>
  <c r="H64" i="10"/>
  <c r="H54" i="10"/>
  <c r="H38" i="10"/>
  <c r="H30" i="10"/>
  <c r="H173" i="10"/>
  <c r="H162" i="10"/>
  <c r="H153" i="10"/>
  <c r="H142" i="10"/>
  <c r="H129" i="10"/>
  <c r="H118" i="10"/>
  <c r="H107" i="10"/>
  <c r="H96" i="10"/>
  <c r="H85" i="10"/>
  <c r="H74" i="10"/>
  <c r="H65" i="10"/>
  <c r="H53" i="10"/>
  <c r="H44" i="10"/>
  <c r="H35" i="10"/>
  <c r="H26" i="10"/>
  <c r="H157" i="10"/>
  <c r="H101" i="10"/>
  <c r="H49" i="10"/>
  <c r="H172" i="10"/>
  <c r="H161" i="10"/>
  <c r="H152" i="10"/>
  <c r="H138" i="10"/>
  <c r="H128" i="10"/>
  <c r="H117" i="10"/>
  <c r="H95" i="10"/>
  <c r="H84" i="10"/>
  <c r="H73" i="10"/>
  <c r="H63" i="10"/>
  <c r="H52" i="10"/>
  <c r="H43" i="10"/>
  <c r="H34" i="10"/>
  <c r="H25" i="10"/>
  <c r="H168" i="10"/>
  <c r="H125" i="10"/>
  <c r="H89" i="10"/>
  <c r="H60" i="10"/>
  <c r="H21" i="10"/>
  <c r="H180" i="10"/>
  <c r="H171" i="10"/>
  <c r="H160" i="10"/>
  <c r="H150" i="10"/>
  <c r="H137" i="10"/>
  <c r="H127" i="10"/>
  <c r="H116" i="10"/>
  <c r="H105" i="10"/>
  <c r="H83" i="10"/>
  <c r="H71" i="10"/>
  <c r="H62" i="10"/>
  <c r="H51" i="10"/>
  <c r="H42" i="10"/>
  <c r="H33" i="10"/>
  <c r="H24" i="10"/>
  <c r="H135" i="10"/>
  <c r="H80" i="10"/>
  <c r="H40" i="10"/>
  <c r="H179" i="10"/>
  <c r="H170" i="10"/>
  <c r="H158" i="10"/>
  <c r="H147" i="10"/>
  <c r="H136" i="10"/>
  <c r="H126" i="10"/>
  <c r="H115" i="10"/>
  <c r="H91" i="10"/>
  <c r="H81" i="10"/>
  <c r="H70" i="10"/>
  <c r="H61" i="10"/>
  <c r="H50" i="10"/>
  <c r="H41" i="10"/>
  <c r="H32" i="10"/>
  <c r="H178" i="10"/>
  <c r="H146" i="10"/>
  <c r="H114" i="10"/>
  <c r="H69" i="10"/>
  <c r="H176" i="10"/>
  <c r="H154" i="10"/>
  <c r="H123" i="10"/>
  <c r="H66" i="10"/>
  <c r="H37" i="10"/>
  <c r="H45" i="10"/>
  <c r="H175" i="10"/>
  <c r="H145" i="10"/>
  <c r="H121" i="10"/>
  <c r="H87" i="10"/>
  <c r="H57" i="10"/>
  <c r="H36" i="10"/>
  <c r="H56" i="10"/>
  <c r="H133" i="10"/>
  <c r="H75" i="10"/>
  <c r="H68" i="10"/>
  <c r="H155" i="10"/>
  <c r="H124" i="10"/>
  <c r="H97" i="10"/>
  <c r="H39" i="10"/>
  <c r="H174" i="10"/>
  <c r="H144" i="10"/>
  <c r="H113" i="10"/>
  <c r="H86" i="10"/>
  <c r="H29" i="10"/>
  <c r="H76" i="10"/>
  <c r="H99" i="10"/>
  <c r="H156" i="10"/>
  <c r="H131" i="10"/>
  <c r="H98" i="10"/>
  <c r="H167" i="10"/>
  <c r="H143" i="10"/>
  <c r="H109" i="10"/>
  <c r="H77" i="10"/>
  <c r="H55" i="10"/>
  <c r="H28" i="10"/>
  <c r="H164" i="10"/>
  <c r="H134" i="10"/>
  <c r="H108" i="10"/>
  <c r="H48" i="10"/>
  <c r="H27" i="10"/>
  <c r="K13" i="10"/>
  <c r="H67" i="10"/>
  <c r="H47" i="10"/>
  <c r="H181" i="10"/>
  <c r="H88" i="10"/>
  <c r="H46" i="10"/>
  <c r="H22" i="10"/>
  <c r="H163" i="10"/>
  <c r="G190" i="10"/>
  <c r="H31" i="10"/>
  <c r="H106" i="10"/>
  <c r="H183" i="10"/>
  <c r="H23" i="10"/>
  <c r="H104" i="10"/>
  <c r="G208" i="7"/>
  <c r="G208" i="21"/>
  <c r="H92" i="10"/>
  <c r="G198" i="14"/>
  <c r="K196" i="14" s="1"/>
  <c r="M14" i="14"/>
  <c r="M17" i="13"/>
  <c r="H183" i="25"/>
  <c r="K13" i="25"/>
  <c r="M183" i="25"/>
  <c r="H164" i="25"/>
  <c r="H146" i="25"/>
  <c r="H127" i="25"/>
  <c r="H108" i="25"/>
  <c r="H97" i="25"/>
  <c r="H90" i="25"/>
  <c r="H81" i="25"/>
  <c r="H70" i="25"/>
  <c r="H61" i="25"/>
  <c r="H54" i="25"/>
  <c r="H45" i="25"/>
  <c r="H36" i="25"/>
  <c r="H27" i="25"/>
  <c r="H22" i="25"/>
  <c r="H181" i="25"/>
  <c r="H174" i="25"/>
  <c r="H156" i="25"/>
  <c r="H136" i="25"/>
  <c r="H117" i="25"/>
  <c r="H110" i="25"/>
  <c r="H99" i="25"/>
  <c r="H88" i="25"/>
  <c r="H77" i="25"/>
  <c r="H72" i="25"/>
  <c r="H63" i="25"/>
  <c r="H52" i="25"/>
  <c r="H43" i="25"/>
  <c r="H38" i="25"/>
  <c r="H29" i="25"/>
  <c r="H179" i="25"/>
  <c r="H173" i="25"/>
  <c r="H168" i="25"/>
  <c r="H161" i="25"/>
  <c r="H155" i="25"/>
  <c r="H150" i="25"/>
  <c r="H143" i="25"/>
  <c r="H135" i="25"/>
  <c r="H129" i="25"/>
  <c r="H124" i="25"/>
  <c r="H116" i="25"/>
  <c r="H105" i="25"/>
  <c r="H92" i="25"/>
  <c r="H83" i="25"/>
  <c r="H76" i="25"/>
  <c r="H67" i="25"/>
  <c r="H56" i="25"/>
  <c r="H47" i="25"/>
  <c r="H42" i="25"/>
  <c r="H33" i="25"/>
  <c r="H24" i="25"/>
  <c r="H177" i="25"/>
  <c r="H172" i="25"/>
  <c r="H167" i="25"/>
  <c r="H159" i="25"/>
  <c r="H154" i="25"/>
  <c r="H147" i="25"/>
  <c r="H139" i="25"/>
  <c r="H134" i="25"/>
  <c r="H128" i="25"/>
  <c r="H122" i="25"/>
  <c r="H115" i="25"/>
  <c r="H104" i="25"/>
  <c r="H91" i="25"/>
  <c r="H86" i="25"/>
  <c r="H75" i="25"/>
  <c r="H66" i="25"/>
  <c r="H55" i="25"/>
  <c r="H50" i="25"/>
  <c r="H41" i="25"/>
  <c r="H32" i="25"/>
  <c r="H23" i="25"/>
  <c r="H175" i="25"/>
  <c r="H162" i="25"/>
  <c r="H151" i="25"/>
  <c r="H137" i="25"/>
  <c r="H125" i="25"/>
  <c r="H113" i="25"/>
  <c r="H68" i="25"/>
  <c r="H48" i="25"/>
  <c r="H39" i="25"/>
  <c r="H160" i="25"/>
  <c r="H123" i="25"/>
  <c r="H109" i="25"/>
  <c r="H98" i="25"/>
  <c r="H87" i="25"/>
  <c r="H46" i="25"/>
  <c r="H37" i="25"/>
  <c r="H28" i="25"/>
  <c r="H171" i="25"/>
  <c r="H145" i="25"/>
  <c r="H121" i="25"/>
  <c r="H96" i="25"/>
  <c r="H74" i="25"/>
  <c r="H170" i="25"/>
  <c r="H44" i="25"/>
  <c r="H180" i="25"/>
  <c r="H169" i="25"/>
  <c r="H157" i="25"/>
  <c r="H144" i="25"/>
  <c r="H130" i="25"/>
  <c r="H118" i="25"/>
  <c r="H106" i="25"/>
  <c r="H95" i="25"/>
  <c r="H84" i="25"/>
  <c r="H73" i="25"/>
  <c r="H34" i="25"/>
  <c r="H25" i="25"/>
  <c r="H176" i="25"/>
  <c r="H138" i="25"/>
  <c r="H114" i="25"/>
  <c r="H49" i="25"/>
  <c r="H31" i="25"/>
  <c r="H107" i="25"/>
  <c r="H64" i="25"/>
  <c r="H178" i="25"/>
  <c r="H142" i="25"/>
  <c r="H82" i="25"/>
  <c r="H71" i="25"/>
  <c r="H62" i="25"/>
  <c r="H51" i="25"/>
  <c r="H163" i="25"/>
  <c r="H153" i="25"/>
  <c r="H126" i="25"/>
  <c r="H101" i="25"/>
  <c r="H60" i="25"/>
  <c r="H40" i="25"/>
  <c r="H53" i="25"/>
  <c r="H35" i="25"/>
  <c r="H152" i="25"/>
  <c r="H100" i="25"/>
  <c r="H89" i="25"/>
  <c r="H80" i="25"/>
  <c r="H69" i="25"/>
  <c r="H30" i="25"/>
  <c r="H21" i="25"/>
  <c r="H158" i="25"/>
  <c r="H133" i="25"/>
  <c r="H85" i="25"/>
  <c r="H65" i="25"/>
  <c r="H26" i="25"/>
  <c r="H131" i="25"/>
  <c r="G190" i="25"/>
  <c r="M190" i="11"/>
  <c r="H198" i="13"/>
  <c r="G206" i="13"/>
  <c r="H194" i="13"/>
  <c r="K14" i="13"/>
  <c r="M181" i="13"/>
  <c r="M172" i="13"/>
  <c r="M161" i="13"/>
  <c r="M156" i="13"/>
  <c r="M145" i="13"/>
  <c r="M134" i="13"/>
  <c r="M124" i="13"/>
  <c r="M117" i="13"/>
  <c r="M106" i="13"/>
  <c r="M95" i="13"/>
  <c r="M84" i="13"/>
  <c r="M77" i="13"/>
  <c r="M68" i="13"/>
  <c r="M48" i="13"/>
  <c r="M43" i="13"/>
  <c r="M34" i="13"/>
  <c r="M25" i="13"/>
  <c r="M179" i="13"/>
  <c r="M174" i="13"/>
  <c r="M163" i="13"/>
  <c r="M154" i="13"/>
  <c r="M143" i="13"/>
  <c r="M136" i="13"/>
  <c r="M126" i="13"/>
  <c r="M115" i="13"/>
  <c r="M104" i="13"/>
  <c r="M97" i="13"/>
  <c r="M86" i="13"/>
  <c r="M75" i="13"/>
  <c r="M66" i="13"/>
  <c r="M61" i="13"/>
  <c r="M50" i="13"/>
  <c r="M41" i="13"/>
  <c r="M32" i="13"/>
  <c r="M27" i="13"/>
  <c r="H195" i="13"/>
  <c r="M178" i="13"/>
  <c r="M169" i="13"/>
  <c r="M158" i="13"/>
  <c r="M147" i="13"/>
  <c r="M142" i="13"/>
  <c r="M130" i="13"/>
  <c r="M121" i="13"/>
  <c r="M108" i="13"/>
  <c r="M101" i="13"/>
  <c r="M90" i="13"/>
  <c r="M81" i="13"/>
  <c r="M70" i="13"/>
  <c r="M65" i="13"/>
  <c r="M54" i="13"/>
  <c r="M45" i="13"/>
  <c r="M36" i="13"/>
  <c r="M31" i="13"/>
  <c r="M22" i="13"/>
  <c r="M177" i="13"/>
  <c r="M168" i="13"/>
  <c r="M157" i="13"/>
  <c r="M152" i="13"/>
  <c r="M139" i="13"/>
  <c r="M129" i="13"/>
  <c r="M118" i="13"/>
  <c r="M113" i="13"/>
  <c r="M100" i="13"/>
  <c r="M89" i="13"/>
  <c r="M80" i="13"/>
  <c r="M73" i="13"/>
  <c r="M64" i="13"/>
  <c r="M53" i="13"/>
  <c r="M44" i="13"/>
  <c r="M39" i="13"/>
  <c r="M30" i="13"/>
  <c r="M21" i="13"/>
  <c r="M160" i="13"/>
  <c r="M151" i="13"/>
  <c r="M138" i="13"/>
  <c r="M128" i="13"/>
  <c r="M83" i="13"/>
  <c r="M72" i="13"/>
  <c r="M63" i="13"/>
  <c r="M52" i="13"/>
  <c r="M171" i="13"/>
  <c r="M127" i="13"/>
  <c r="M116" i="13"/>
  <c r="M105" i="13"/>
  <c r="M92" i="13"/>
  <c r="M51" i="13"/>
  <c r="M42" i="13"/>
  <c r="M33" i="13"/>
  <c r="M24" i="13"/>
  <c r="M159" i="13"/>
  <c r="M137" i="13"/>
  <c r="M91" i="13"/>
  <c r="M71" i="13"/>
  <c r="M23" i="13"/>
  <c r="M114" i="13"/>
  <c r="M69" i="13"/>
  <c r="M176" i="13"/>
  <c r="M167" i="13"/>
  <c r="M123" i="13"/>
  <c r="M110" i="13"/>
  <c r="M99" i="13"/>
  <c r="M88" i="13"/>
  <c r="M47" i="13"/>
  <c r="M38" i="13"/>
  <c r="M29" i="13"/>
  <c r="M131" i="13"/>
  <c r="M109" i="13"/>
  <c r="M46" i="13"/>
  <c r="M28" i="13"/>
  <c r="M125" i="13"/>
  <c r="M40" i="13"/>
  <c r="M164" i="13"/>
  <c r="M155" i="13"/>
  <c r="M144" i="13"/>
  <c r="M133" i="13"/>
  <c r="M87" i="13"/>
  <c r="M76" i="13"/>
  <c r="M67" i="13"/>
  <c r="M56" i="13"/>
  <c r="H197" i="13"/>
  <c r="M175" i="13"/>
  <c r="M122" i="13"/>
  <c r="M98" i="13"/>
  <c r="M55" i="13"/>
  <c r="M37" i="13"/>
  <c r="M135" i="13"/>
  <c r="M49" i="13"/>
  <c r="M173" i="13"/>
  <c r="M162" i="13"/>
  <c r="M153" i="13"/>
  <c r="M107" i="13"/>
  <c r="M96" i="13"/>
  <c r="M85" i="13"/>
  <c r="M74" i="13"/>
  <c r="M35" i="13"/>
  <c r="M26" i="13"/>
  <c r="M180" i="13"/>
  <c r="M170" i="13"/>
  <c r="M150" i="13"/>
  <c r="M82" i="13"/>
  <c r="M62" i="13"/>
  <c r="M146" i="13"/>
  <c r="M60" i="13"/>
  <c r="H196" i="13"/>
  <c r="M57" i="13"/>
  <c r="G208" i="5"/>
  <c r="H57" i="25"/>
  <c r="M190" i="19"/>
  <c r="G208" i="23"/>
  <c r="G208" i="22"/>
  <c r="G208" i="24"/>
  <c r="M190" i="22"/>
  <c r="M190" i="13"/>
  <c r="N14" i="36" l="1"/>
  <c r="N14" i="38"/>
  <c r="G208" i="10"/>
  <c r="G208" i="25"/>
  <c r="G208" i="11"/>
  <c r="K153" i="14"/>
  <c r="K121" i="14"/>
  <c r="K85" i="14"/>
  <c r="K66" i="14"/>
  <c r="K104" i="14"/>
  <c r="K144" i="14"/>
  <c r="K161" i="14"/>
  <c r="K117" i="14"/>
  <c r="K48" i="14"/>
  <c r="K183" i="14"/>
  <c r="K180" i="14"/>
  <c r="K99" i="14"/>
  <c r="K143" i="14"/>
  <c r="K41" i="14"/>
  <c r="K162" i="14"/>
  <c r="K159" i="14"/>
  <c r="K108" i="14"/>
  <c r="K138" i="14"/>
  <c r="I13" i="14"/>
  <c r="K73" i="14"/>
  <c r="K51" i="14"/>
  <c r="K88" i="14"/>
  <c r="K170" i="14"/>
  <c r="K45" i="14"/>
  <c r="K67" i="14"/>
  <c r="K43" i="14"/>
  <c r="K27" i="14"/>
  <c r="K30" i="14"/>
  <c r="K118" i="14"/>
  <c r="K167" i="14"/>
  <c r="K101" i="14"/>
  <c r="K125" i="14"/>
  <c r="K131" i="14"/>
  <c r="K123" i="14"/>
  <c r="K64" i="14"/>
  <c r="K177" i="14"/>
  <c r="K124" i="14"/>
  <c r="K39" i="14"/>
  <c r="K23" i="14"/>
  <c r="K179" i="14"/>
  <c r="K38" i="14"/>
  <c r="K37" i="14"/>
  <c r="K44" i="14"/>
  <c r="K84" i="14"/>
  <c r="K62" i="14"/>
  <c r="K107" i="14"/>
  <c r="K130" i="14"/>
  <c r="K164" i="14"/>
  <c r="K155" i="14"/>
  <c r="K174" i="14"/>
  <c r="K154" i="14"/>
  <c r="K129" i="14"/>
  <c r="K52" i="14"/>
  <c r="K36" i="14"/>
  <c r="K110" i="14"/>
  <c r="K49" i="14"/>
  <c r="K50" i="14"/>
  <c r="K171" i="14"/>
  <c r="K95" i="14"/>
  <c r="K25" i="14"/>
  <c r="K74" i="14"/>
  <c r="K82" i="14"/>
  <c r="K157" i="14"/>
  <c r="K109" i="14"/>
  <c r="K152" i="14"/>
  <c r="K127" i="14"/>
  <c r="K97" i="14"/>
  <c r="K68" i="14"/>
  <c r="K163" i="14"/>
  <c r="K53" i="14"/>
  <c r="K100" i="14"/>
  <c r="G190" i="14"/>
  <c r="G192" i="14" s="1"/>
  <c r="K72" i="14"/>
  <c r="K114" i="14"/>
  <c r="K181" i="14"/>
  <c r="K134" i="14"/>
  <c r="K137" i="14"/>
  <c r="K46" i="14"/>
  <c r="K77" i="14"/>
  <c r="K35" i="14"/>
  <c r="K115" i="14"/>
  <c r="K156" i="14"/>
  <c r="K29" i="14"/>
  <c r="K54" i="14"/>
  <c r="K145" i="14"/>
  <c r="K83" i="14"/>
  <c r="K60" i="14"/>
  <c r="K132" i="14"/>
  <c r="K150" i="14"/>
  <c r="K90" i="14"/>
  <c r="K65" i="14"/>
  <c r="K116" i="14"/>
  <c r="K47" i="14"/>
  <c r="K28" i="14"/>
  <c r="K176" i="14"/>
  <c r="K80" i="14"/>
  <c r="K160" i="14"/>
  <c r="K136" i="14"/>
  <c r="K175" i="14"/>
  <c r="K63" i="14"/>
  <c r="K173" i="14"/>
  <c r="K24" i="14"/>
  <c r="K168" i="14"/>
  <c r="K172" i="14"/>
  <c r="K92" i="14"/>
  <c r="K76" i="14"/>
  <c r="K87" i="14"/>
  <c r="K122" i="14"/>
  <c r="K26" i="14"/>
  <c r="K135" i="14"/>
  <c r="K178" i="14"/>
  <c r="K40" i="14"/>
  <c r="K142" i="14"/>
  <c r="K75" i="14"/>
  <c r="K126" i="14"/>
  <c r="K139" i="14"/>
  <c r="K86" i="14"/>
  <c r="K113" i="14"/>
  <c r="K70" i="14"/>
  <c r="K56" i="14"/>
  <c r="K106" i="14"/>
  <c r="K147" i="14"/>
  <c r="K151" i="14"/>
  <c r="K71" i="14"/>
  <c r="K33" i="14"/>
  <c r="K69" i="14"/>
  <c r="K146" i="14"/>
  <c r="K21" i="14"/>
  <c r="K96" i="14"/>
  <c r="K81" i="14"/>
  <c r="K89" i="14"/>
  <c r="K98" i="14"/>
  <c r="K91" i="14"/>
  <c r="K105" i="14"/>
  <c r="K169" i="14"/>
  <c r="K128" i="14"/>
  <c r="K55" i="14"/>
  <c r="K42" i="14"/>
  <c r="K34" i="14"/>
  <c r="K32" i="14"/>
  <c r="K22" i="14"/>
  <c r="K61" i="14"/>
  <c r="K133" i="14"/>
  <c r="K158" i="14"/>
  <c r="K31" i="14"/>
  <c r="M190" i="10"/>
  <c r="M190" i="25"/>
  <c r="G208" i="13"/>
  <c r="N14" i="35"/>
  <c r="N14" i="5"/>
  <c r="N14" i="11"/>
  <c r="N14" i="22"/>
  <c r="N14" i="20"/>
  <c r="N14" i="7"/>
  <c r="N14" i="6"/>
  <c r="N14" i="24"/>
  <c r="N14" i="25"/>
  <c r="N14" i="21"/>
  <c r="N14" i="19"/>
  <c r="N14" i="10"/>
  <c r="N14" i="13"/>
  <c r="N14" i="23"/>
  <c r="N14" i="27"/>
  <c r="M32" i="14"/>
  <c r="M41" i="14"/>
  <c r="M65" i="14"/>
  <c r="M89" i="14"/>
  <c r="M123" i="14"/>
  <c r="M162" i="14"/>
  <c r="M43" i="14"/>
  <c r="K194" i="14"/>
  <c r="M23" i="14"/>
  <c r="M33" i="14"/>
  <c r="M53" i="14"/>
  <c r="M66" i="14"/>
  <c r="M155" i="14"/>
  <c r="M172" i="14"/>
  <c r="M63" i="14"/>
  <c r="M54" i="14"/>
  <c r="M68" i="14"/>
  <c r="M25" i="14"/>
  <c r="M69" i="14"/>
  <c r="M157" i="14"/>
  <c r="K195" i="14"/>
  <c r="M26" i="14"/>
  <c r="M36" i="14"/>
  <c r="M46" i="14"/>
  <c r="M71" i="14"/>
  <c r="M83" i="14"/>
  <c r="M107" i="14"/>
  <c r="M115" i="14"/>
  <c r="M126" i="14"/>
  <c r="M136" i="14"/>
  <c r="M146" i="14"/>
  <c r="M158" i="14"/>
  <c r="M168" i="14"/>
  <c r="M174" i="14"/>
  <c r="M129" i="14"/>
  <c r="M27" i="14"/>
  <c r="M38" i="14"/>
  <c r="M73" i="14"/>
  <c r="M127" i="14"/>
  <c r="M137" i="14"/>
  <c r="M159" i="14"/>
  <c r="M169" i="14"/>
  <c r="M175" i="14"/>
  <c r="M48" i="14"/>
  <c r="M74" i="14"/>
  <c r="M97" i="14"/>
  <c r="M117" i="14"/>
  <c r="M138" i="14"/>
  <c r="M160" i="14"/>
  <c r="M176" i="14"/>
  <c r="K197" i="14"/>
  <c r="M34" i="14"/>
  <c r="M134" i="14"/>
  <c r="M156" i="14"/>
  <c r="M67" i="14"/>
  <c r="M55" i="14"/>
  <c r="M125" i="14"/>
  <c r="M173" i="14"/>
  <c r="M47" i="14"/>
  <c r="M84" i="14"/>
  <c r="M116" i="14"/>
  <c r="M153" i="14"/>
  <c r="M28" i="14"/>
  <c r="M39" i="14"/>
  <c r="M85" i="14"/>
  <c r="M108" i="14"/>
  <c r="M128" i="14"/>
  <c r="M152" i="14"/>
  <c r="M30" i="14"/>
  <c r="M90" i="14"/>
  <c r="M180" i="14"/>
  <c r="M35" i="14"/>
  <c r="M91" i="14"/>
  <c r="M87" i="14"/>
  <c r="M29" i="14"/>
  <c r="M40" i="14"/>
  <c r="M49" i="14"/>
  <c r="M62" i="14"/>
  <c r="M75" i="14"/>
  <c r="M88" i="14"/>
  <c r="M98" i="14"/>
  <c r="M130" i="14"/>
  <c r="M161" i="14"/>
  <c r="M170" i="14"/>
  <c r="M177" i="14"/>
  <c r="M37" i="14"/>
  <c r="M51" i="14"/>
  <c r="M76" i="14"/>
  <c r="M99" i="14"/>
  <c r="M109" i="14"/>
  <c r="M131" i="14"/>
  <c r="M144" i="14"/>
  <c r="M171" i="14"/>
  <c r="M178" i="14"/>
  <c r="M31" i="14"/>
  <c r="M42" i="14"/>
  <c r="M82" i="14"/>
  <c r="M100" i="14"/>
  <c r="M133" i="14"/>
  <c r="M145" i="14"/>
  <c r="M163" i="14"/>
  <c r="M179" i="14"/>
  <c r="M52" i="14"/>
  <c r="M44" i="14"/>
  <c r="M167" i="14"/>
  <c r="M45" i="14"/>
  <c r="M106" i="14"/>
  <c r="M135" i="14"/>
  <c r="M122" i="14"/>
  <c r="M64" i="14"/>
  <c r="M113" i="14"/>
  <c r="M60" i="14"/>
  <c r="M183" i="14"/>
  <c r="M96" i="14"/>
  <c r="M24" i="14"/>
  <c r="M77" i="14"/>
  <c r="M56" i="14"/>
  <c r="M118" i="14"/>
  <c r="M132" i="14"/>
  <c r="M104" i="14"/>
  <c r="I14" i="14"/>
  <c r="M114" i="14"/>
  <c r="M150" i="14"/>
  <c r="M110" i="14"/>
  <c r="M72" i="14"/>
  <c r="M81" i="14"/>
  <c r="M164" i="14"/>
  <c r="M61" i="14"/>
  <c r="M50" i="14"/>
  <c r="M139" i="14"/>
  <c r="M22" i="14"/>
  <c r="M86" i="14"/>
  <c r="M57" i="14"/>
  <c r="M181" i="14"/>
  <c r="M95" i="14"/>
  <c r="M143" i="14"/>
  <c r="M142" i="14"/>
  <c r="M101" i="14"/>
  <c r="K198" i="14"/>
  <c r="M105" i="14"/>
  <c r="M21" i="14"/>
  <c r="M124" i="14"/>
  <c r="M17" i="14"/>
  <c r="M147" i="14"/>
  <c r="M80" i="14"/>
  <c r="M70" i="14"/>
  <c r="M121" i="14"/>
  <c r="M92" i="14"/>
  <c r="M154" i="14"/>
  <c r="M151" i="14"/>
  <c r="N92" i="36" l="1"/>
  <c r="O92" i="36" s="1"/>
  <c r="P92" i="36" s="1"/>
  <c r="N92" i="38"/>
  <c r="O92" i="38" s="1"/>
  <c r="P92" i="38" s="1"/>
  <c r="N110" i="36"/>
  <c r="O110" i="36" s="1"/>
  <c r="P110" i="36" s="1"/>
  <c r="N110" i="38"/>
  <c r="O110" i="38" s="1"/>
  <c r="P110" i="38" s="1"/>
  <c r="N144" i="36"/>
  <c r="N144" i="38"/>
  <c r="N152" i="36"/>
  <c r="N152" i="38"/>
  <c r="N27" i="36"/>
  <c r="N27" i="38"/>
  <c r="N115" i="36"/>
  <c r="N115" i="38"/>
  <c r="N66" i="36"/>
  <c r="N66" i="38"/>
  <c r="N24" i="36"/>
  <c r="N24" i="38"/>
  <c r="N106" i="36"/>
  <c r="N106" i="38"/>
  <c r="N29" i="36"/>
  <c r="N29" i="38"/>
  <c r="N47" i="36"/>
  <c r="N47" i="38"/>
  <c r="N175" i="36"/>
  <c r="N175" i="38"/>
  <c r="N69" i="36"/>
  <c r="N69" i="38"/>
  <c r="N65" i="36"/>
  <c r="N65" i="38"/>
  <c r="N101" i="36"/>
  <c r="O101" i="36" s="1"/>
  <c r="P101" i="36" s="1"/>
  <c r="N101" i="38"/>
  <c r="O101" i="38" s="1"/>
  <c r="P101" i="38" s="1"/>
  <c r="N96" i="36"/>
  <c r="N96" i="38"/>
  <c r="N100" i="36"/>
  <c r="N100" i="38"/>
  <c r="N109" i="36"/>
  <c r="N109" i="38"/>
  <c r="N130" i="36"/>
  <c r="N130" i="38"/>
  <c r="N87" i="36"/>
  <c r="N87" i="38"/>
  <c r="N108" i="36"/>
  <c r="N108" i="38"/>
  <c r="N173" i="36"/>
  <c r="N173" i="38"/>
  <c r="N176" i="36"/>
  <c r="N176" i="38"/>
  <c r="N169" i="36"/>
  <c r="N169" i="38"/>
  <c r="N174" i="36"/>
  <c r="N174" i="38"/>
  <c r="N83" i="36"/>
  <c r="N83" i="38"/>
  <c r="N25" i="36"/>
  <c r="N25" i="38"/>
  <c r="N33" i="36"/>
  <c r="N33" i="38"/>
  <c r="N41" i="36"/>
  <c r="N41" i="38"/>
  <c r="N80" i="36"/>
  <c r="N80" i="38"/>
  <c r="N142" i="36"/>
  <c r="N142" i="38"/>
  <c r="N50" i="36"/>
  <c r="N50" i="38"/>
  <c r="N183" i="36"/>
  <c r="N183" i="38"/>
  <c r="N167" i="36"/>
  <c r="N167" i="38"/>
  <c r="N82" i="36"/>
  <c r="N82" i="38"/>
  <c r="N99" i="36"/>
  <c r="N99" i="38"/>
  <c r="N98" i="36"/>
  <c r="N98" i="38"/>
  <c r="N91" i="36"/>
  <c r="N91" i="38"/>
  <c r="N85" i="36"/>
  <c r="N85" i="38"/>
  <c r="N125" i="36"/>
  <c r="N125" i="38"/>
  <c r="N160" i="36"/>
  <c r="N160" i="38"/>
  <c r="N159" i="36"/>
  <c r="N159" i="38"/>
  <c r="N168" i="36"/>
  <c r="N168" i="38"/>
  <c r="N71" i="36"/>
  <c r="N71" i="38"/>
  <c r="N68" i="36"/>
  <c r="N68" i="38"/>
  <c r="N23" i="36"/>
  <c r="N23" i="38"/>
  <c r="N32" i="36"/>
  <c r="N32" i="38"/>
  <c r="N77" i="36"/>
  <c r="N77" i="38"/>
  <c r="N170" i="36"/>
  <c r="N170" i="38"/>
  <c r="N34" i="36"/>
  <c r="N34" i="38"/>
  <c r="N22" i="36"/>
  <c r="N22" i="38"/>
  <c r="N161" i="36"/>
  <c r="N161" i="38"/>
  <c r="N129" i="36"/>
  <c r="N129" i="38"/>
  <c r="N70" i="36"/>
  <c r="N70" i="38"/>
  <c r="N143" i="36"/>
  <c r="N143" i="38"/>
  <c r="N76" i="36"/>
  <c r="N76" i="38"/>
  <c r="N55" i="36"/>
  <c r="N55" i="38"/>
  <c r="N46" i="36"/>
  <c r="N46" i="38"/>
  <c r="N17" i="36"/>
  <c r="N17" i="38"/>
  <c r="N95" i="36"/>
  <c r="N95" i="38"/>
  <c r="N164" i="36"/>
  <c r="O164" i="36" s="1"/>
  <c r="P164" i="36" s="1"/>
  <c r="N164" i="38"/>
  <c r="O164" i="38" s="1"/>
  <c r="P164" i="38" s="1"/>
  <c r="N113" i="36"/>
  <c r="N113" i="38"/>
  <c r="N52" i="36"/>
  <c r="N52" i="38"/>
  <c r="N31" i="36"/>
  <c r="N31" i="38"/>
  <c r="N51" i="36"/>
  <c r="N51" i="38"/>
  <c r="N75" i="36"/>
  <c r="N75" i="38"/>
  <c r="N180" i="36"/>
  <c r="N180" i="38"/>
  <c r="N28" i="36"/>
  <c r="N28" i="38"/>
  <c r="N67" i="36"/>
  <c r="N67" i="38"/>
  <c r="N117" i="36"/>
  <c r="N117" i="38"/>
  <c r="N127" i="36"/>
  <c r="N127" i="38"/>
  <c r="N146" i="36"/>
  <c r="N146" i="38"/>
  <c r="N36" i="36"/>
  <c r="N36" i="38"/>
  <c r="N63" i="36"/>
  <c r="N63" i="38"/>
  <c r="N43" i="36"/>
  <c r="N43" i="38"/>
  <c r="N105" i="36"/>
  <c r="N105" i="38"/>
  <c r="N135" i="36"/>
  <c r="N135" i="38"/>
  <c r="N84" i="36"/>
  <c r="N84" i="38"/>
  <c r="N121" i="36"/>
  <c r="N121" i="38"/>
  <c r="N150" i="36"/>
  <c r="N150" i="38"/>
  <c r="N133" i="36"/>
  <c r="N133" i="38"/>
  <c r="N128" i="36"/>
  <c r="N128" i="38"/>
  <c r="N107" i="36"/>
  <c r="N107" i="38"/>
  <c r="N53" i="36"/>
  <c r="N53" i="38"/>
  <c r="N139" i="36"/>
  <c r="O139" i="36" s="1"/>
  <c r="P139" i="36" s="1"/>
  <c r="N139" i="38"/>
  <c r="O139" i="38" s="1"/>
  <c r="P139" i="38" s="1"/>
  <c r="N147" i="36"/>
  <c r="O147" i="36" s="1"/>
  <c r="P147" i="36" s="1"/>
  <c r="N147" i="38"/>
  <c r="O147" i="38" s="1"/>
  <c r="P147" i="38" s="1"/>
  <c r="N104" i="36"/>
  <c r="N104" i="38"/>
  <c r="N42" i="36"/>
  <c r="N42" i="38"/>
  <c r="N35" i="36"/>
  <c r="N35" i="38"/>
  <c r="N137" i="36"/>
  <c r="N137" i="38"/>
  <c r="N124" i="36"/>
  <c r="N124" i="38"/>
  <c r="N64" i="36"/>
  <c r="N64" i="38"/>
  <c r="N90" i="36"/>
  <c r="N90" i="38"/>
  <c r="N136" i="36"/>
  <c r="N136" i="38"/>
  <c r="N86" i="36"/>
  <c r="N86" i="38"/>
  <c r="N145" i="36"/>
  <c r="N145" i="38"/>
  <c r="N40" i="36"/>
  <c r="N40" i="38"/>
  <c r="N48" i="36"/>
  <c r="N48" i="38"/>
  <c r="N157" i="36"/>
  <c r="N157" i="38"/>
  <c r="N89" i="36"/>
  <c r="N89" i="38"/>
  <c r="N131" i="36"/>
  <c r="N131" i="38"/>
  <c r="N114" i="36"/>
  <c r="N114" i="38"/>
  <c r="N45" i="36"/>
  <c r="N45" i="38"/>
  <c r="N61" i="36"/>
  <c r="N61" i="38"/>
  <c r="N60" i="36"/>
  <c r="N60" i="38"/>
  <c r="N44" i="36"/>
  <c r="N44" i="38"/>
  <c r="N88" i="36"/>
  <c r="N88" i="38"/>
  <c r="N39" i="36"/>
  <c r="N39" i="38"/>
  <c r="N138" i="36"/>
  <c r="N138" i="38"/>
  <c r="N158" i="36"/>
  <c r="N158" i="38"/>
  <c r="N54" i="36"/>
  <c r="N54" i="38"/>
  <c r="N151" i="36"/>
  <c r="N151" i="38"/>
  <c r="N181" i="36"/>
  <c r="N181" i="38"/>
  <c r="N81" i="36"/>
  <c r="N81" i="38"/>
  <c r="N118" i="36"/>
  <c r="O118" i="36" s="1"/>
  <c r="P118" i="36" s="1"/>
  <c r="N118" i="38"/>
  <c r="O118" i="38" s="1"/>
  <c r="P118" i="38" s="1"/>
  <c r="N179" i="36"/>
  <c r="N179" i="38"/>
  <c r="N178" i="36"/>
  <c r="N178" i="38"/>
  <c r="N37" i="36"/>
  <c r="N37" i="38"/>
  <c r="N62" i="36"/>
  <c r="N62" i="38"/>
  <c r="N153" i="36"/>
  <c r="N153" i="38"/>
  <c r="N156" i="36"/>
  <c r="N156" i="38"/>
  <c r="N97" i="36"/>
  <c r="N97" i="38"/>
  <c r="N73" i="36"/>
  <c r="N73" i="38"/>
  <c r="N26" i="36"/>
  <c r="N26" i="38"/>
  <c r="N172" i="36"/>
  <c r="N172" i="38"/>
  <c r="N162" i="36"/>
  <c r="N162" i="38"/>
  <c r="N154" i="36"/>
  <c r="N154" i="38"/>
  <c r="N21" i="36"/>
  <c r="N21" i="38"/>
  <c r="N57" i="36"/>
  <c r="O57" i="36" s="1"/>
  <c r="P57" i="36" s="1"/>
  <c r="N57" i="38"/>
  <c r="O57" i="38" s="1"/>
  <c r="P57" i="38" s="1"/>
  <c r="N72" i="36"/>
  <c r="N72" i="38"/>
  <c r="N56" i="36"/>
  <c r="N56" i="38"/>
  <c r="N122" i="36"/>
  <c r="N122" i="38"/>
  <c r="N163" i="36"/>
  <c r="N163" i="38"/>
  <c r="N171" i="36"/>
  <c r="N171" i="38"/>
  <c r="N177" i="36"/>
  <c r="N177" i="38"/>
  <c r="N49" i="36"/>
  <c r="N49" i="38"/>
  <c r="N30" i="36"/>
  <c r="N30" i="38"/>
  <c r="N116" i="36"/>
  <c r="N116" i="38"/>
  <c r="N134" i="36"/>
  <c r="N134" i="38"/>
  <c r="N74" i="36"/>
  <c r="N74" i="38"/>
  <c r="N38" i="36"/>
  <c r="N38" i="38"/>
  <c r="N126" i="36"/>
  <c r="N126" i="38"/>
  <c r="N155" i="36"/>
  <c r="N155" i="38"/>
  <c r="N123" i="36"/>
  <c r="N123" i="38"/>
  <c r="G191" i="14"/>
  <c r="N147" i="35"/>
  <c r="O147" i="35" s="1"/>
  <c r="P147" i="35" s="1"/>
  <c r="N147" i="19"/>
  <c r="O147" i="19" s="1"/>
  <c r="P147" i="19" s="1"/>
  <c r="N147" i="25"/>
  <c r="O147" i="25" s="1"/>
  <c r="P147" i="25" s="1"/>
  <c r="N147" i="11"/>
  <c r="O147" i="11" s="1"/>
  <c r="P147" i="11" s="1"/>
  <c r="N147" i="21"/>
  <c r="O147" i="21" s="1"/>
  <c r="P147" i="21" s="1"/>
  <c r="N147" i="5"/>
  <c r="O147" i="5" s="1"/>
  <c r="P147" i="5" s="1"/>
  <c r="N147" i="22"/>
  <c r="O147" i="22" s="1"/>
  <c r="P147" i="22" s="1"/>
  <c r="N147" i="10"/>
  <c r="O147" i="10" s="1"/>
  <c r="P147" i="10" s="1"/>
  <c r="N147" i="13"/>
  <c r="O147" i="13" s="1"/>
  <c r="P147" i="13" s="1"/>
  <c r="N147" i="27"/>
  <c r="O147" i="27" s="1"/>
  <c r="P147" i="27" s="1"/>
  <c r="N147" i="6"/>
  <c r="O147" i="6" s="1"/>
  <c r="P147" i="6" s="1"/>
  <c r="N147" i="24"/>
  <c r="O147" i="24" s="1"/>
  <c r="P147" i="24" s="1"/>
  <c r="N147" i="7"/>
  <c r="O147" i="7" s="1"/>
  <c r="P147" i="7" s="1"/>
  <c r="N147" i="23"/>
  <c r="O147" i="23" s="1"/>
  <c r="P147" i="23" s="1"/>
  <c r="N147" i="20"/>
  <c r="O147" i="20" s="1"/>
  <c r="P147" i="20" s="1"/>
  <c r="N167" i="35"/>
  <c r="N167" i="10"/>
  <c r="N167" i="22"/>
  <c r="N167" i="5"/>
  <c r="N167" i="13"/>
  <c r="N167" i="19"/>
  <c r="N167" i="25"/>
  <c r="N167" i="27"/>
  <c r="N167" i="24"/>
  <c r="N167" i="6"/>
  <c r="N167" i="20"/>
  <c r="N167" i="7"/>
  <c r="N167" i="23"/>
  <c r="N167" i="21"/>
  <c r="N167" i="11"/>
  <c r="N99" i="35"/>
  <c r="N99" i="10"/>
  <c r="N99" i="24"/>
  <c r="N99" i="27"/>
  <c r="N99" i="19"/>
  <c r="N99" i="22"/>
  <c r="N99" i="25"/>
  <c r="N99" i="21"/>
  <c r="N99" i="7"/>
  <c r="N99" i="13"/>
  <c r="N99" i="23"/>
  <c r="N99" i="6"/>
  <c r="N99" i="5"/>
  <c r="N99" i="11"/>
  <c r="N99" i="20"/>
  <c r="N85" i="35"/>
  <c r="N85" i="5"/>
  <c r="N85" i="10"/>
  <c r="N85" i="22"/>
  <c r="N85" i="24"/>
  <c r="N85" i="20"/>
  <c r="N85" i="6"/>
  <c r="N85" i="19"/>
  <c r="N85" i="27"/>
  <c r="N85" i="21"/>
  <c r="N85" i="13"/>
  <c r="N85" i="25"/>
  <c r="N85" i="23"/>
  <c r="N85" i="11"/>
  <c r="N85" i="7"/>
  <c r="N160" i="35"/>
  <c r="N160" i="10"/>
  <c r="N160" i="22"/>
  <c r="N160" i="5"/>
  <c r="N160" i="13"/>
  <c r="N160" i="19"/>
  <c r="N160" i="25"/>
  <c r="N160" i="27"/>
  <c r="N160" i="20"/>
  <c r="N160" i="11"/>
  <c r="N160" i="24"/>
  <c r="N160" i="7"/>
  <c r="N160" i="6"/>
  <c r="N160" i="23"/>
  <c r="N160" i="21"/>
  <c r="N71" i="35"/>
  <c r="N71" i="20"/>
  <c r="N71" i="11"/>
  <c r="N71" i="6"/>
  <c r="N71" i="23"/>
  <c r="N71" i="5"/>
  <c r="N71" i="22"/>
  <c r="N71" i="21"/>
  <c r="N71" i="25"/>
  <c r="N71" i="13"/>
  <c r="N71" i="19"/>
  <c r="N71" i="10"/>
  <c r="N71" i="7"/>
  <c r="N71" i="27"/>
  <c r="N71" i="24"/>
  <c r="N23" i="35"/>
  <c r="N23" i="10"/>
  <c r="N23" i="20"/>
  <c r="N23" i="7"/>
  <c r="N23" i="19"/>
  <c r="N23" i="13"/>
  <c r="N23" i="11"/>
  <c r="N23" i="6"/>
  <c r="N23" i="23"/>
  <c r="N23" i="27"/>
  <c r="N23" i="24"/>
  <c r="N23" i="22"/>
  <c r="N23" i="25"/>
  <c r="N23" i="21"/>
  <c r="N23" i="5"/>
  <c r="N95" i="35"/>
  <c r="N95" i="25"/>
  <c r="N95" i="21"/>
  <c r="N95" i="24"/>
  <c r="N95" i="23"/>
  <c r="N95" i="5"/>
  <c r="N95" i="22"/>
  <c r="N95" i="13"/>
  <c r="N95" i="11"/>
  <c r="N95" i="27"/>
  <c r="N95" i="19"/>
  <c r="N95" i="7"/>
  <c r="N95" i="20"/>
  <c r="N95" i="10"/>
  <c r="N95" i="6"/>
  <c r="N104" i="35"/>
  <c r="N104" i="11"/>
  <c r="N104" i="6"/>
  <c r="N104" i="23"/>
  <c r="N104" i="20"/>
  <c r="N104" i="24"/>
  <c r="N104" i="19"/>
  <c r="N104" i="22"/>
  <c r="N104" i="25"/>
  <c r="N104" i="21"/>
  <c r="N104" i="10"/>
  <c r="N104" i="27"/>
  <c r="N104" i="13"/>
  <c r="N104" i="7"/>
  <c r="N104" i="5"/>
  <c r="N44" i="35"/>
  <c r="N44" i="27"/>
  <c r="N44" i="19"/>
  <c r="N44" i="10"/>
  <c r="N44" i="24"/>
  <c r="N44" i="13"/>
  <c r="N44" i="7"/>
  <c r="N44" i="23"/>
  <c r="N44" i="5"/>
  <c r="N44" i="22"/>
  <c r="N44" i="21"/>
  <c r="N44" i="6"/>
  <c r="N44" i="20"/>
  <c r="N44" i="25"/>
  <c r="N44" i="11"/>
  <c r="N76" i="35"/>
  <c r="N76" i="5"/>
  <c r="N76" i="10"/>
  <c r="N76" i="22"/>
  <c r="N76" i="24"/>
  <c r="N76" i="20"/>
  <c r="N76" i="6"/>
  <c r="N76" i="13"/>
  <c r="N76" i="19"/>
  <c r="N76" i="27"/>
  <c r="N76" i="11"/>
  <c r="N76" i="7"/>
  <c r="N76" i="23"/>
  <c r="N76" i="25"/>
  <c r="N76" i="21"/>
  <c r="N35" i="35"/>
  <c r="N35" i="10"/>
  <c r="N35" i="22"/>
  <c r="N35" i="5"/>
  <c r="N35" i="13"/>
  <c r="N35" i="19"/>
  <c r="N35" i="25"/>
  <c r="N35" i="27"/>
  <c r="N35" i="24"/>
  <c r="N35" i="23"/>
  <c r="N35" i="20"/>
  <c r="N35" i="21"/>
  <c r="N35" i="6"/>
  <c r="N35" i="11"/>
  <c r="N35" i="7"/>
  <c r="N55" i="35"/>
  <c r="N55" i="10"/>
  <c r="N55" i="22"/>
  <c r="N55" i="5"/>
  <c r="N55" i="13"/>
  <c r="N55" i="19"/>
  <c r="N55" i="25"/>
  <c r="N55" i="27"/>
  <c r="N55" i="24"/>
  <c r="N55" i="6"/>
  <c r="N55" i="23"/>
  <c r="N55" i="20"/>
  <c r="N55" i="7"/>
  <c r="N55" i="21"/>
  <c r="N55" i="11"/>
  <c r="N137" i="35"/>
  <c r="N137" i="10"/>
  <c r="N137" i="24"/>
  <c r="N137" i="27"/>
  <c r="N137" i="19"/>
  <c r="N137" i="22"/>
  <c r="N137" i="25"/>
  <c r="N137" i="21"/>
  <c r="N137" i="13"/>
  <c r="N137" i="7"/>
  <c r="N137" i="6"/>
  <c r="N137" i="5"/>
  <c r="N137" i="23"/>
  <c r="N137" i="11"/>
  <c r="N137" i="20"/>
  <c r="N46" i="35"/>
  <c r="N46" i="10"/>
  <c r="N46" i="24"/>
  <c r="N46" i="27"/>
  <c r="N46" i="19"/>
  <c r="N46" i="22"/>
  <c r="N46" i="25"/>
  <c r="N46" i="21"/>
  <c r="N46" i="13"/>
  <c r="N46" i="11"/>
  <c r="N46" i="7"/>
  <c r="N46" i="5"/>
  <c r="N46" i="6"/>
  <c r="N46" i="23"/>
  <c r="N46" i="20"/>
  <c r="N124" i="35"/>
  <c r="N124" i="11"/>
  <c r="N124" i="6"/>
  <c r="N124" i="20"/>
  <c r="N124" i="24"/>
  <c r="N124" i="22"/>
  <c r="N124" i="25"/>
  <c r="N124" i="21"/>
  <c r="N124" i="10"/>
  <c r="N124" i="27"/>
  <c r="N124" i="13"/>
  <c r="N124" i="7"/>
  <c r="N124" i="23"/>
  <c r="N124" i="5"/>
  <c r="N124" i="19"/>
  <c r="N52" i="35"/>
  <c r="N52" i="7"/>
  <c r="N52" i="19"/>
  <c r="N52" i="13"/>
  <c r="N52" i="27"/>
  <c r="N52" i="23"/>
  <c r="N52" i="20"/>
  <c r="N52" i="21"/>
  <c r="N52" i="6"/>
  <c r="N52" i="5"/>
  <c r="N52" i="10"/>
  <c r="N52" i="25"/>
  <c r="N52" i="11"/>
  <c r="N52" i="22"/>
  <c r="N52" i="24"/>
  <c r="N51" i="35"/>
  <c r="N51" i="11"/>
  <c r="N51" i="23"/>
  <c r="N51" i="7"/>
  <c r="N51" i="21"/>
  <c r="N51" i="6"/>
  <c r="N51" i="13"/>
  <c r="N51" i="19"/>
  <c r="N51" i="27"/>
  <c r="N51" i="22"/>
  <c r="N51" i="25"/>
  <c r="N51" i="24"/>
  <c r="N51" i="10"/>
  <c r="N51" i="5"/>
  <c r="N51" i="20"/>
  <c r="N180" i="35"/>
  <c r="N180" i="10"/>
  <c r="N180" i="24"/>
  <c r="N180" i="27"/>
  <c r="N180" i="19"/>
  <c r="N180" i="22"/>
  <c r="N180" i="25"/>
  <c r="N180" i="21"/>
  <c r="N180" i="7"/>
  <c r="N180" i="5"/>
  <c r="N180" i="13"/>
  <c r="N180" i="6"/>
  <c r="N180" i="11"/>
  <c r="N180" i="23"/>
  <c r="N180" i="20"/>
  <c r="N67" i="35"/>
  <c r="N67" i="20"/>
  <c r="N67" i="21"/>
  <c r="N67" i="25"/>
  <c r="N67" i="10"/>
  <c r="N67" i="13"/>
  <c r="N67" i="27"/>
  <c r="N67" i="22"/>
  <c r="N67" i="24"/>
  <c r="N67" i="7"/>
  <c r="N67" i="5"/>
  <c r="N67" i="11"/>
  <c r="N67" i="6"/>
  <c r="N67" i="19"/>
  <c r="N67" i="23"/>
  <c r="N127" i="35"/>
  <c r="N127" i="11"/>
  <c r="N127" i="23"/>
  <c r="N127" i="7"/>
  <c r="N127" i="21"/>
  <c r="N127" i="6"/>
  <c r="N127" i="13"/>
  <c r="N127" i="19"/>
  <c r="N127" i="25"/>
  <c r="N127" i="10"/>
  <c r="N127" i="27"/>
  <c r="N127" i="20"/>
  <c r="N127" i="5"/>
  <c r="N127" i="22"/>
  <c r="N127" i="24"/>
  <c r="N36" i="35"/>
  <c r="N36" i="10"/>
  <c r="N36" i="24"/>
  <c r="N36" i="27"/>
  <c r="N36" i="19"/>
  <c r="N36" i="22"/>
  <c r="N36" i="25"/>
  <c r="N36" i="21"/>
  <c r="N36" i="13"/>
  <c r="N36" i="11"/>
  <c r="N36" i="7"/>
  <c r="N36" i="23"/>
  <c r="N36" i="6"/>
  <c r="N36" i="5"/>
  <c r="N36" i="20"/>
  <c r="N63" i="35"/>
  <c r="N63" i="7"/>
  <c r="N63" i="19"/>
  <c r="N63" i="13"/>
  <c r="N63" i="27"/>
  <c r="N63" i="23"/>
  <c r="N63" i="20"/>
  <c r="N63" i="21"/>
  <c r="N63" i="6"/>
  <c r="N63" i="5"/>
  <c r="N63" i="10"/>
  <c r="N63" i="11"/>
  <c r="N63" i="25"/>
  <c r="N63" i="24"/>
  <c r="N63" i="22"/>
  <c r="N21" i="35"/>
  <c r="N21" i="22"/>
  <c r="N21" i="20"/>
  <c r="N21" i="24"/>
  <c r="N21" i="25"/>
  <c r="N21" i="10"/>
  <c r="N21" i="5"/>
  <c r="N21" i="7"/>
  <c r="N21" i="6"/>
  <c r="N21" i="19"/>
  <c r="N21" i="13"/>
  <c r="N21" i="23"/>
  <c r="N21" i="27"/>
  <c r="N21" i="21"/>
  <c r="N21" i="11"/>
  <c r="N72" i="35"/>
  <c r="N72" i="7"/>
  <c r="N72" i="21"/>
  <c r="N72" i="6"/>
  <c r="N72" i="10"/>
  <c r="N72" i="23"/>
  <c r="N72" i="22"/>
  <c r="N72" i="19"/>
  <c r="N72" i="13"/>
  <c r="N72" i="27"/>
  <c r="N72" i="25"/>
  <c r="N72" i="24"/>
  <c r="N72" i="20"/>
  <c r="N72" i="11"/>
  <c r="N72" i="5"/>
  <c r="N64" i="35"/>
  <c r="N64" i="23"/>
  <c r="N64" i="24"/>
  <c r="N64" i="11"/>
  <c r="N64" i="6"/>
  <c r="N64" i="20"/>
  <c r="N64" i="25"/>
  <c r="N64" i="10"/>
  <c r="N64" i="27"/>
  <c r="N64" i="7"/>
  <c r="N64" i="21"/>
  <c r="N64" i="19"/>
  <c r="N64" i="5"/>
  <c r="N64" i="13"/>
  <c r="N64" i="22"/>
  <c r="N179" i="35"/>
  <c r="N179" i="10"/>
  <c r="N179" i="22"/>
  <c r="N179" i="5"/>
  <c r="N179" i="13"/>
  <c r="N179" i="19"/>
  <c r="N179" i="25"/>
  <c r="N179" i="27"/>
  <c r="N179" i="20"/>
  <c r="N179" i="24"/>
  <c r="N179" i="6"/>
  <c r="N179" i="11"/>
  <c r="N179" i="7"/>
  <c r="N179" i="23"/>
  <c r="N179" i="21"/>
  <c r="N37" i="35"/>
  <c r="N37" i="10"/>
  <c r="N37" i="24"/>
  <c r="N37" i="22"/>
  <c r="N37" i="20"/>
  <c r="N37" i="21"/>
  <c r="N37" i="11"/>
  <c r="N37" i="25"/>
  <c r="N37" i="6"/>
  <c r="N37" i="7"/>
  <c r="N37" i="5"/>
  <c r="N37" i="23"/>
  <c r="N37" i="13"/>
  <c r="N37" i="19"/>
  <c r="N37" i="27"/>
  <c r="N62" i="35"/>
  <c r="N62" i="11"/>
  <c r="N62" i="27"/>
  <c r="N62" i="23"/>
  <c r="N62" i="25"/>
  <c r="N62" i="22"/>
  <c r="N62" i="13"/>
  <c r="N62" i="20"/>
  <c r="N62" i="10"/>
  <c r="N62" i="7"/>
  <c r="N62" i="19"/>
  <c r="N62" i="21"/>
  <c r="N62" i="6"/>
  <c r="N62" i="24"/>
  <c r="N62" i="5"/>
  <c r="N90" i="35"/>
  <c r="N90" i="10"/>
  <c r="N90" i="24"/>
  <c r="N90" i="27"/>
  <c r="N90" i="19"/>
  <c r="N90" i="22"/>
  <c r="N90" i="25"/>
  <c r="N90" i="21"/>
  <c r="N90" i="13"/>
  <c r="N90" i="7"/>
  <c r="N90" i="5"/>
  <c r="N90" i="11"/>
  <c r="N90" i="6"/>
  <c r="N90" i="23"/>
  <c r="N90" i="20"/>
  <c r="N153" i="35"/>
  <c r="N153" i="6"/>
  <c r="N153" i="5"/>
  <c r="N153" i="11"/>
  <c r="N153" i="23"/>
  <c r="N153" i="27"/>
  <c r="N153" i="22"/>
  <c r="N153" i="24"/>
  <c r="N153" i="7"/>
  <c r="N153" i="20"/>
  <c r="N153" i="19"/>
  <c r="N153" i="13"/>
  <c r="N153" i="10"/>
  <c r="N153" i="25"/>
  <c r="N153" i="21"/>
  <c r="N156" i="35"/>
  <c r="N156" i="10"/>
  <c r="N156" i="22"/>
  <c r="N156" i="5"/>
  <c r="N156" i="13"/>
  <c r="N156" i="19"/>
  <c r="N156" i="25"/>
  <c r="N156" i="27"/>
  <c r="N156" i="24"/>
  <c r="N156" i="23"/>
  <c r="N156" i="20"/>
  <c r="N156" i="21"/>
  <c r="N156" i="11"/>
  <c r="N156" i="7"/>
  <c r="N156" i="6"/>
  <c r="N97" i="35"/>
  <c r="N97" i="27"/>
  <c r="N97" i="19"/>
  <c r="N97" i="10"/>
  <c r="N97" i="24"/>
  <c r="N97" i="13"/>
  <c r="N97" i="7"/>
  <c r="N97" i="23"/>
  <c r="N97" i="5"/>
  <c r="N97" i="22"/>
  <c r="N97" i="21"/>
  <c r="N97" i="11"/>
  <c r="N97" i="20"/>
  <c r="N97" i="25"/>
  <c r="N97" i="6"/>
  <c r="N73" i="35"/>
  <c r="N73" i="27"/>
  <c r="N73" i="19"/>
  <c r="N73" i="10"/>
  <c r="N73" i="24"/>
  <c r="N73" i="13"/>
  <c r="N73" i="7"/>
  <c r="N73" i="23"/>
  <c r="N73" i="5"/>
  <c r="N73" i="22"/>
  <c r="N73" i="25"/>
  <c r="N73" i="20"/>
  <c r="N73" i="21"/>
  <c r="N73" i="6"/>
  <c r="N73" i="11"/>
  <c r="N136" i="35"/>
  <c r="N136" i="10"/>
  <c r="N136" i="22"/>
  <c r="N136" i="5"/>
  <c r="N136" i="13"/>
  <c r="N136" i="19"/>
  <c r="N136" i="25"/>
  <c r="N136" i="27"/>
  <c r="N136" i="24"/>
  <c r="N136" i="7"/>
  <c r="N136" i="6"/>
  <c r="N136" i="23"/>
  <c r="N136" i="20"/>
  <c r="N136" i="21"/>
  <c r="N136" i="11"/>
  <c r="N26" i="35"/>
  <c r="N26" i="25"/>
  <c r="N26" i="20"/>
  <c r="N26" i="23"/>
  <c r="N26" i="22"/>
  <c r="N26" i="21"/>
  <c r="N26" i="10"/>
  <c r="N26" i="6"/>
  <c r="N26" i="7"/>
  <c r="N26" i="13"/>
  <c r="N26" i="27"/>
  <c r="N26" i="11"/>
  <c r="N26" i="5"/>
  <c r="N26" i="24"/>
  <c r="N26" i="19"/>
  <c r="N172" i="35"/>
  <c r="N172" i="10"/>
  <c r="N172" i="24"/>
  <c r="N172" i="27"/>
  <c r="N172" i="19"/>
  <c r="N172" i="22"/>
  <c r="N172" i="25"/>
  <c r="N172" i="21"/>
  <c r="N172" i="7"/>
  <c r="N172" i="6"/>
  <c r="N172" i="13"/>
  <c r="N172" i="23"/>
  <c r="N172" i="11"/>
  <c r="N172" i="5"/>
  <c r="N172" i="20"/>
  <c r="N162" i="35"/>
  <c r="N162" i="5"/>
  <c r="N162" i="10"/>
  <c r="N162" i="22"/>
  <c r="N162" i="24"/>
  <c r="N162" i="20"/>
  <c r="N162" i="6"/>
  <c r="N162" i="19"/>
  <c r="N162" i="23"/>
  <c r="N162" i="13"/>
  <c r="N162" i="11"/>
  <c r="N162" i="25"/>
  <c r="N162" i="21"/>
  <c r="N162" i="7"/>
  <c r="N162" i="27"/>
  <c r="N92" i="35"/>
  <c r="O92" i="35" s="1"/>
  <c r="P92" i="35" s="1"/>
  <c r="N92" i="23"/>
  <c r="O92" i="23" s="1"/>
  <c r="P92" i="23" s="1"/>
  <c r="N92" i="22"/>
  <c r="O92" i="22" s="1"/>
  <c r="P92" i="22" s="1"/>
  <c r="N92" i="25"/>
  <c r="O92" i="25" s="1"/>
  <c r="P92" i="25" s="1"/>
  <c r="N92" i="20"/>
  <c r="O92" i="20" s="1"/>
  <c r="P92" i="20" s="1"/>
  <c r="N92" i="7"/>
  <c r="O92" i="7" s="1"/>
  <c r="P92" i="7" s="1"/>
  <c r="N92" i="5"/>
  <c r="O92" i="5" s="1"/>
  <c r="P92" i="5" s="1"/>
  <c r="N92" i="6"/>
  <c r="O92" i="6" s="1"/>
  <c r="P92" i="6" s="1"/>
  <c r="N92" i="27"/>
  <c r="O92" i="27" s="1"/>
  <c r="P92" i="27" s="1"/>
  <c r="N92" i="21"/>
  <c r="O92" i="21" s="1"/>
  <c r="P92" i="21" s="1"/>
  <c r="N92" i="13"/>
  <c r="O92" i="13" s="1"/>
  <c r="P92" i="13" s="1"/>
  <c r="N92" i="19"/>
  <c r="O92" i="19" s="1"/>
  <c r="P92" i="19" s="1"/>
  <c r="N92" i="11"/>
  <c r="O92" i="11" s="1"/>
  <c r="P92" i="11" s="1"/>
  <c r="N92" i="10"/>
  <c r="O92" i="10" s="1"/>
  <c r="P92" i="10" s="1"/>
  <c r="N92" i="24"/>
  <c r="O92" i="24" s="1"/>
  <c r="P92" i="24" s="1"/>
  <c r="N105" i="35"/>
  <c r="N105" i="22"/>
  <c r="N105" i="20"/>
  <c r="N105" i="21"/>
  <c r="N105" i="11"/>
  <c r="N105" i="10"/>
  <c r="N105" i="24"/>
  <c r="N105" i="19"/>
  <c r="N105" i="25"/>
  <c r="N105" i="7"/>
  <c r="N105" i="6"/>
  <c r="N105" i="5"/>
  <c r="N105" i="23"/>
  <c r="N105" i="27"/>
  <c r="N105" i="13"/>
  <c r="N86" i="35"/>
  <c r="N86" i="20"/>
  <c r="N86" i="21"/>
  <c r="N86" i="24"/>
  <c r="N86" i="19"/>
  <c r="N86" i="25"/>
  <c r="N86" i="11"/>
  <c r="N86" i="5"/>
  <c r="N86" i="10"/>
  <c r="N86" i="13"/>
  <c r="N86" i="23"/>
  <c r="N86" i="27"/>
  <c r="N86" i="22"/>
  <c r="N86" i="7"/>
  <c r="N86" i="6"/>
  <c r="N110" i="35"/>
  <c r="O110" i="35" s="1"/>
  <c r="P110" i="35" s="1"/>
  <c r="N110" i="27"/>
  <c r="O110" i="27" s="1"/>
  <c r="P110" i="27" s="1"/>
  <c r="N110" i="20"/>
  <c r="O110" i="20" s="1"/>
  <c r="P110" i="20" s="1"/>
  <c r="N110" i="21"/>
  <c r="O110" i="21" s="1"/>
  <c r="P110" i="21" s="1"/>
  <c r="N110" i="11"/>
  <c r="O110" i="11" s="1"/>
  <c r="P110" i="11" s="1"/>
  <c r="N110" i="23"/>
  <c r="O110" i="23" s="1"/>
  <c r="P110" i="23" s="1"/>
  <c r="N110" i="22"/>
  <c r="O110" i="22" s="1"/>
  <c r="P110" i="22" s="1"/>
  <c r="N110" i="24"/>
  <c r="O110" i="24" s="1"/>
  <c r="P110" i="24" s="1"/>
  <c r="N110" i="13"/>
  <c r="O110" i="13" s="1"/>
  <c r="P110" i="13" s="1"/>
  <c r="N110" i="25"/>
  <c r="O110" i="25" s="1"/>
  <c r="P110" i="25" s="1"/>
  <c r="N110" i="10"/>
  <c r="O110" i="10" s="1"/>
  <c r="P110" i="10" s="1"/>
  <c r="N110" i="6"/>
  <c r="O110" i="6" s="1"/>
  <c r="P110" i="6" s="1"/>
  <c r="N110" i="19"/>
  <c r="O110" i="19" s="1"/>
  <c r="P110" i="19" s="1"/>
  <c r="N110" i="7"/>
  <c r="O110" i="7" s="1"/>
  <c r="P110" i="7" s="1"/>
  <c r="N110" i="5"/>
  <c r="O110" i="5" s="1"/>
  <c r="P110" i="5" s="1"/>
  <c r="N56" i="35"/>
  <c r="N56" i="25"/>
  <c r="N56" i="23"/>
  <c r="N56" i="20"/>
  <c r="N56" i="21"/>
  <c r="N56" i="5"/>
  <c r="N56" i="11"/>
  <c r="N56" i="24"/>
  <c r="N56" i="7"/>
  <c r="N56" i="6"/>
  <c r="N56" i="27"/>
  <c r="N56" i="19"/>
  <c r="N56" i="10"/>
  <c r="N56" i="13"/>
  <c r="N56" i="22"/>
  <c r="N122" i="35"/>
  <c r="N122" i="10"/>
  <c r="N122" i="11"/>
  <c r="N122" i="27"/>
  <c r="N122" i="22"/>
  <c r="N122" i="24"/>
  <c r="N122" i="7"/>
  <c r="N122" i="23"/>
  <c r="N122" i="21"/>
  <c r="N122" i="6"/>
  <c r="N122" i="19"/>
  <c r="N122" i="20"/>
  <c r="N122" i="5"/>
  <c r="N122" i="25"/>
  <c r="N122" i="13"/>
  <c r="N163" i="35"/>
  <c r="N163" i="27"/>
  <c r="N163" i="19"/>
  <c r="N163" i="10"/>
  <c r="N163" i="24"/>
  <c r="N163" i="13"/>
  <c r="N163" i="7"/>
  <c r="N163" i="23"/>
  <c r="N163" i="5"/>
  <c r="N163" i="22"/>
  <c r="N163" i="25"/>
  <c r="N163" i="21"/>
  <c r="N163" i="11"/>
  <c r="N163" i="20"/>
  <c r="N163" i="6"/>
  <c r="N171" i="35"/>
  <c r="N171" i="10"/>
  <c r="N171" i="22"/>
  <c r="N171" i="5"/>
  <c r="N171" i="13"/>
  <c r="N171" i="19"/>
  <c r="N171" i="25"/>
  <c r="N171" i="27"/>
  <c r="N171" i="20"/>
  <c r="N171" i="24"/>
  <c r="N171" i="21"/>
  <c r="N171" i="11"/>
  <c r="N171" i="7"/>
  <c r="N171" i="6"/>
  <c r="N171" i="23"/>
  <c r="N177" i="35"/>
  <c r="N177" i="5"/>
  <c r="N177" i="10"/>
  <c r="N177" i="22"/>
  <c r="N177" i="24"/>
  <c r="N177" i="20"/>
  <c r="N177" i="6"/>
  <c r="N177" i="13"/>
  <c r="N177" i="11"/>
  <c r="N177" i="7"/>
  <c r="N177" i="19"/>
  <c r="N177" i="27"/>
  <c r="N177" i="25"/>
  <c r="N177" i="23"/>
  <c r="N177" i="21"/>
  <c r="N49" i="35"/>
  <c r="N49" i="10"/>
  <c r="N49" i="22"/>
  <c r="N49" i="5"/>
  <c r="N49" i="13"/>
  <c r="N49" i="19"/>
  <c r="N49" i="25"/>
  <c r="N49" i="27"/>
  <c r="N49" i="20"/>
  <c r="N49" i="24"/>
  <c r="N49" i="11"/>
  <c r="N49" i="7"/>
  <c r="N49" i="6"/>
  <c r="N49" i="23"/>
  <c r="N49" i="21"/>
  <c r="N30" i="35"/>
  <c r="N30" i="22"/>
  <c r="N30" i="24"/>
  <c r="N30" i="10"/>
  <c r="N30" i="25"/>
  <c r="N30" i="11"/>
  <c r="N30" i="23"/>
  <c r="N30" i="20"/>
  <c r="N30" i="6"/>
  <c r="N30" i="19"/>
  <c r="N30" i="21"/>
  <c r="N30" i="7"/>
  <c r="N30" i="5"/>
  <c r="N30" i="13"/>
  <c r="N30" i="27"/>
  <c r="N116" i="35"/>
  <c r="N116" i="10"/>
  <c r="N116" i="22"/>
  <c r="N116" i="5"/>
  <c r="N116" i="13"/>
  <c r="N116" i="19"/>
  <c r="N116" i="25"/>
  <c r="N116" i="27"/>
  <c r="N116" i="20"/>
  <c r="N116" i="24"/>
  <c r="N116" i="6"/>
  <c r="N116" i="11"/>
  <c r="N116" i="7"/>
  <c r="N116" i="23"/>
  <c r="N116" i="21"/>
  <c r="N134" i="35"/>
  <c r="N134" i="5"/>
  <c r="N134" i="10"/>
  <c r="N134" i="22"/>
  <c r="N134" i="24"/>
  <c r="N134" i="20"/>
  <c r="N134" i="6"/>
  <c r="N134" i="19"/>
  <c r="N134" i="13"/>
  <c r="N134" i="27"/>
  <c r="N134" i="21"/>
  <c r="N134" i="11"/>
  <c r="N134" i="25"/>
  <c r="N134" i="7"/>
  <c r="N134" i="23"/>
  <c r="N74" i="35"/>
  <c r="N74" i="10"/>
  <c r="N74" i="22"/>
  <c r="N74" i="5"/>
  <c r="N74" i="13"/>
  <c r="N74" i="19"/>
  <c r="N74" i="25"/>
  <c r="N74" i="27"/>
  <c r="N74" i="24"/>
  <c r="N74" i="7"/>
  <c r="N74" i="20"/>
  <c r="N74" i="21"/>
  <c r="N74" i="11"/>
  <c r="N74" i="6"/>
  <c r="N74" i="23"/>
  <c r="N38" i="35"/>
  <c r="N38" i="20"/>
  <c r="N38" i="11"/>
  <c r="N38" i="6"/>
  <c r="N38" i="23"/>
  <c r="N38" i="5"/>
  <c r="N38" i="22"/>
  <c r="N38" i="25"/>
  <c r="N38" i="21"/>
  <c r="N38" i="7"/>
  <c r="N38" i="27"/>
  <c r="N38" i="24"/>
  <c r="N38" i="10"/>
  <c r="N38" i="19"/>
  <c r="N38" i="13"/>
  <c r="N126" i="35"/>
  <c r="N126" i="11"/>
  <c r="N126" i="6"/>
  <c r="N126" i="20"/>
  <c r="N126" i="25"/>
  <c r="N126" i="21"/>
  <c r="N126" i="13"/>
  <c r="N126" i="7"/>
  <c r="N126" i="23"/>
  <c r="N126" i="24"/>
  <c r="N126" i="5"/>
  <c r="N126" i="27"/>
  <c r="N126" i="19"/>
  <c r="N126" i="22"/>
  <c r="N126" i="10"/>
  <c r="N155" i="35"/>
  <c r="N155" i="6"/>
  <c r="N155" i="5"/>
  <c r="N155" i="11"/>
  <c r="N155" i="23"/>
  <c r="N155" i="27"/>
  <c r="N155" i="22"/>
  <c r="N155" i="24"/>
  <c r="N155" i="7"/>
  <c r="N155" i="19"/>
  <c r="N155" i="25"/>
  <c r="N155" i="13"/>
  <c r="N155" i="21"/>
  <c r="N155" i="10"/>
  <c r="N155" i="20"/>
  <c r="N123" i="35"/>
  <c r="N123" i="5"/>
  <c r="N123" i="10"/>
  <c r="N123" i="22"/>
  <c r="N123" i="24"/>
  <c r="N123" i="20"/>
  <c r="N123" i="6"/>
  <c r="N123" i="19"/>
  <c r="N123" i="23"/>
  <c r="N123" i="13"/>
  <c r="N123" i="25"/>
  <c r="N123" i="27"/>
  <c r="N123" i="11"/>
  <c r="N123" i="21"/>
  <c r="N123" i="7"/>
  <c r="N121" i="35"/>
  <c r="N121" i="11"/>
  <c r="N121" i="23"/>
  <c r="N121" i="7"/>
  <c r="N121" i="21"/>
  <c r="N121" i="5"/>
  <c r="N121" i="10"/>
  <c r="N121" i="20"/>
  <c r="N121" i="6"/>
  <c r="N121" i="22"/>
  <c r="N121" i="13"/>
  <c r="N121" i="19"/>
  <c r="N121" i="25"/>
  <c r="N121" i="27"/>
  <c r="N121" i="24"/>
  <c r="N22" i="35"/>
  <c r="N22" i="22"/>
  <c r="N22" i="7"/>
  <c r="N22" i="11"/>
  <c r="N22" i="6"/>
  <c r="N22" i="19"/>
  <c r="N22" i="10"/>
  <c r="N22" i="13"/>
  <c r="N22" i="24"/>
  <c r="N22" i="5"/>
  <c r="N22" i="23"/>
  <c r="N22" i="21"/>
  <c r="N22" i="27"/>
  <c r="N22" i="25"/>
  <c r="N22" i="20"/>
  <c r="N150" i="35"/>
  <c r="N150" i="5"/>
  <c r="N150" i="19"/>
  <c r="N150" i="25"/>
  <c r="N150" i="10"/>
  <c r="N150" i="22"/>
  <c r="N150" i="21"/>
  <c r="N150" i="23"/>
  <c r="N150" i="24"/>
  <c r="N150" i="20"/>
  <c r="N150" i="7"/>
  <c r="N150" i="6"/>
  <c r="N150" i="13"/>
  <c r="N150" i="11"/>
  <c r="N150" i="27"/>
  <c r="N77" i="35"/>
  <c r="N77" i="10"/>
  <c r="N77" i="7"/>
  <c r="N77" i="23"/>
  <c r="N77" i="21"/>
  <c r="N77" i="24"/>
  <c r="N77" i="6"/>
  <c r="N77" i="25"/>
  <c r="N77" i="19"/>
  <c r="N77" i="27"/>
  <c r="N77" i="20"/>
  <c r="N77" i="13"/>
  <c r="N77" i="11"/>
  <c r="N77" i="5"/>
  <c r="N77" i="22"/>
  <c r="N135" i="35"/>
  <c r="N135" i="27"/>
  <c r="N135" i="5"/>
  <c r="N135" i="10"/>
  <c r="N135" i="6"/>
  <c r="N135" i="13"/>
  <c r="N135" i="19"/>
  <c r="N135" i="23"/>
  <c r="N135" i="7"/>
  <c r="N135" i="22"/>
  <c r="N135" i="25"/>
  <c r="N135" i="20"/>
  <c r="N135" i="21"/>
  <c r="N135" i="11"/>
  <c r="N135" i="24"/>
  <c r="N145" i="35"/>
  <c r="N145" i="10"/>
  <c r="N145" i="19"/>
  <c r="N145" i="23"/>
  <c r="N145" i="13"/>
  <c r="N145" i="22"/>
  <c r="N145" i="25"/>
  <c r="N145" i="6"/>
  <c r="N145" i="27"/>
  <c r="N145" i="20"/>
  <c r="N145" i="11"/>
  <c r="N145" i="24"/>
  <c r="N145" i="5"/>
  <c r="N145" i="7"/>
  <c r="N145" i="21"/>
  <c r="N144" i="35"/>
  <c r="N144" i="27"/>
  <c r="N144" i="19"/>
  <c r="N144" i="10"/>
  <c r="N144" i="24"/>
  <c r="N144" i="13"/>
  <c r="N144" i="7"/>
  <c r="N144" i="23"/>
  <c r="N144" i="5"/>
  <c r="N144" i="22"/>
  <c r="N144" i="20"/>
  <c r="N144" i="21"/>
  <c r="N144" i="11"/>
  <c r="N144" i="6"/>
  <c r="N144" i="25"/>
  <c r="N170" i="35"/>
  <c r="N170" i="27"/>
  <c r="N170" i="19"/>
  <c r="N170" i="10"/>
  <c r="N170" i="24"/>
  <c r="N170" i="13"/>
  <c r="N170" i="7"/>
  <c r="N170" i="23"/>
  <c r="N170" i="5"/>
  <c r="N170" i="25"/>
  <c r="N170" i="22"/>
  <c r="N170" i="21"/>
  <c r="N170" i="20"/>
  <c r="N170" i="6"/>
  <c r="N170" i="11"/>
  <c r="N40" i="35"/>
  <c r="N40" i="11"/>
  <c r="N40" i="6"/>
  <c r="N40" i="20"/>
  <c r="N40" i="25"/>
  <c r="N40" i="21"/>
  <c r="N40" i="13"/>
  <c r="N40" i="7"/>
  <c r="N40" i="5"/>
  <c r="N40" i="23"/>
  <c r="N40" i="22"/>
  <c r="N40" i="19"/>
  <c r="N40" i="27"/>
  <c r="N40" i="10"/>
  <c r="N40" i="24"/>
  <c r="N152" i="35"/>
  <c r="N152" i="5"/>
  <c r="N152" i="10"/>
  <c r="N152" i="22"/>
  <c r="N152" i="24"/>
  <c r="N152" i="20"/>
  <c r="N152" i="6"/>
  <c r="N152" i="19"/>
  <c r="N152" i="13"/>
  <c r="N152" i="25"/>
  <c r="N152" i="23"/>
  <c r="N152" i="11"/>
  <c r="N152" i="27"/>
  <c r="N152" i="7"/>
  <c r="N152" i="21"/>
  <c r="N84" i="35"/>
  <c r="N84" i="10"/>
  <c r="N84" i="24"/>
  <c r="N84" i="27"/>
  <c r="N84" i="19"/>
  <c r="N84" i="22"/>
  <c r="N84" i="25"/>
  <c r="N84" i="21"/>
  <c r="N84" i="7"/>
  <c r="N84" i="13"/>
  <c r="N84" i="11"/>
  <c r="N84" i="23"/>
  <c r="N84" i="20"/>
  <c r="N84" i="6"/>
  <c r="N84" i="5"/>
  <c r="N34" i="35"/>
  <c r="N34" i="27"/>
  <c r="N34" i="19"/>
  <c r="N34" i="10"/>
  <c r="N34" i="13"/>
  <c r="N34" i="7"/>
  <c r="N34" i="23"/>
  <c r="N34" i="5"/>
  <c r="N34" i="21"/>
  <c r="N34" i="6"/>
  <c r="N34" i="25"/>
  <c r="N34" i="20"/>
  <c r="N34" i="24"/>
  <c r="N34" i="11"/>
  <c r="N34" i="22"/>
  <c r="N48" i="35"/>
  <c r="N48" i="27"/>
  <c r="N48" i="19"/>
  <c r="N48" i="10"/>
  <c r="N48" i="24"/>
  <c r="N48" i="13"/>
  <c r="N48" i="7"/>
  <c r="N48" i="23"/>
  <c r="N48" i="5"/>
  <c r="N48" i="25"/>
  <c r="N48" i="11"/>
  <c r="N48" i="22"/>
  <c r="N48" i="21"/>
  <c r="N48" i="20"/>
  <c r="N48" i="6"/>
  <c r="N27" i="35"/>
  <c r="N27" i="6"/>
  <c r="N27" i="23"/>
  <c r="N27" i="10"/>
  <c r="N27" i="21"/>
  <c r="N27" i="5"/>
  <c r="N27" i="27"/>
  <c r="N27" i="22"/>
  <c r="N27" i="25"/>
  <c r="N27" i="7"/>
  <c r="N27" i="19"/>
  <c r="N27" i="13"/>
  <c r="N27" i="11"/>
  <c r="N27" i="24"/>
  <c r="N27" i="20"/>
  <c r="N115" i="35"/>
  <c r="N115" i="27"/>
  <c r="N115" i="19"/>
  <c r="N115" i="10"/>
  <c r="N115" i="24"/>
  <c r="N115" i="13"/>
  <c r="N115" i="7"/>
  <c r="N115" i="23"/>
  <c r="N115" i="5"/>
  <c r="N115" i="11"/>
  <c r="N115" i="22"/>
  <c r="N115" i="20"/>
  <c r="N115" i="21"/>
  <c r="N115" i="6"/>
  <c r="N115" i="25"/>
  <c r="N157" i="35"/>
  <c r="N157" i="11"/>
  <c r="N157" i="5"/>
  <c r="N157" i="21"/>
  <c r="N157" i="23"/>
  <c r="N157" i="24"/>
  <c r="N157" i="10"/>
  <c r="N157" i="6"/>
  <c r="N157" i="27"/>
  <c r="N157" i="20"/>
  <c r="N157" i="19"/>
  <c r="N157" i="13"/>
  <c r="N157" i="22"/>
  <c r="N157" i="25"/>
  <c r="N157" i="7"/>
  <c r="N66" i="35"/>
  <c r="N66" i="7"/>
  <c r="N66" i="21"/>
  <c r="N66" i="11"/>
  <c r="N66" i="23"/>
  <c r="N66" i="25"/>
  <c r="N66" i="27"/>
  <c r="N66" i="24"/>
  <c r="N66" i="20"/>
  <c r="N66" i="6"/>
  <c r="N66" i="13"/>
  <c r="N66" i="5"/>
  <c r="N66" i="19"/>
  <c r="N66" i="22"/>
  <c r="N66" i="10"/>
  <c r="N89" i="35"/>
  <c r="N89" i="10"/>
  <c r="N89" i="22"/>
  <c r="N89" i="5"/>
  <c r="N89" i="13"/>
  <c r="N89" i="19"/>
  <c r="N89" i="25"/>
  <c r="N89" i="27"/>
  <c r="N89" i="24"/>
  <c r="N89" i="20"/>
  <c r="N89" i="6"/>
  <c r="N89" i="21"/>
  <c r="N89" i="23"/>
  <c r="N89" i="11"/>
  <c r="N89" i="7"/>
  <c r="N61" i="35"/>
  <c r="N61" i="10"/>
  <c r="N61" i="24"/>
  <c r="N61" i="5"/>
  <c r="N61" i="27"/>
  <c r="N61" i="19"/>
  <c r="N61" i="20"/>
  <c r="N61" i="11"/>
  <c r="N61" i="22"/>
  <c r="N61" i="6"/>
  <c r="N61" i="25"/>
  <c r="N61" i="21"/>
  <c r="N61" i="13"/>
  <c r="N61" i="7"/>
  <c r="N61" i="23"/>
  <c r="N183" i="35"/>
  <c r="N183" i="24"/>
  <c r="N183" i="7"/>
  <c r="N183" i="6"/>
  <c r="N183" i="5"/>
  <c r="N183" i="10"/>
  <c r="N183" i="13"/>
  <c r="N183" i="22"/>
  <c r="N183" i="19"/>
  <c r="N183" i="11"/>
  <c r="N183" i="23"/>
  <c r="N183" i="27"/>
  <c r="N183" i="20"/>
  <c r="N183" i="21"/>
  <c r="N183" i="25"/>
  <c r="N82" i="35"/>
  <c r="N82" i="27"/>
  <c r="N82" i="19"/>
  <c r="N82" i="10"/>
  <c r="N82" i="24"/>
  <c r="N82" i="13"/>
  <c r="N82" i="7"/>
  <c r="N82" i="23"/>
  <c r="N82" i="5"/>
  <c r="N82" i="22"/>
  <c r="N82" i="25"/>
  <c r="N82" i="20"/>
  <c r="N82" i="21"/>
  <c r="N82" i="11"/>
  <c r="N82" i="6"/>
  <c r="N98" i="35"/>
  <c r="N98" i="10"/>
  <c r="N98" i="22"/>
  <c r="N98" i="5"/>
  <c r="N98" i="13"/>
  <c r="N98" i="19"/>
  <c r="N98" i="25"/>
  <c r="N98" i="27"/>
  <c r="N98" i="20"/>
  <c r="N98" i="24"/>
  <c r="N98" i="7"/>
  <c r="N98" i="6"/>
  <c r="N98" i="11"/>
  <c r="N98" i="23"/>
  <c r="N98" i="21"/>
  <c r="N125" i="35"/>
  <c r="N125" i="7"/>
  <c r="N125" i="21"/>
  <c r="N125" i="11"/>
  <c r="N125" i="23"/>
  <c r="N125" i="25"/>
  <c r="N125" i="27"/>
  <c r="N125" i="24"/>
  <c r="N125" i="20"/>
  <c r="N125" i="6"/>
  <c r="N125" i="19"/>
  <c r="N125" i="13"/>
  <c r="N125" i="10"/>
  <c r="N125" i="5"/>
  <c r="N125" i="22"/>
  <c r="N168" i="35"/>
  <c r="N168" i="10"/>
  <c r="N168" i="24"/>
  <c r="N168" i="27"/>
  <c r="N168" i="19"/>
  <c r="N168" i="22"/>
  <c r="N168" i="25"/>
  <c r="N168" i="21"/>
  <c r="N168" i="13"/>
  <c r="N168" i="11"/>
  <c r="N168" i="20"/>
  <c r="N168" i="7"/>
  <c r="N168" i="23"/>
  <c r="N168" i="6"/>
  <c r="N168" i="5"/>
  <c r="N32" i="35"/>
  <c r="N32" i="10"/>
  <c r="N32" i="24"/>
  <c r="N32" i="22"/>
  <c r="N32" i="25"/>
  <c r="N32" i="21"/>
  <c r="N32" i="7"/>
  <c r="N32" i="27"/>
  <c r="N32" i="6"/>
  <c r="N32" i="5"/>
  <c r="N32" i="13"/>
  <c r="N32" i="19"/>
  <c r="N32" i="11"/>
  <c r="N32" i="23"/>
  <c r="N32" i="20"/>
  <c r="N17" i="35"/>
  <c r="N17" i="10"/>
  <c r="N17" i="21"/>
  <c r="N17" i="6"/>
  <c r="N17" i="23"/>
  <c r="N17" i="19"/>
  <c r="N17" i="5"/>
  <c r="N17" i="27"/>
  <c r="N17" i="22"/>
  <c r="N17" i="11"/>
  <c r="N17" i="24"/>
  <c r="N17" i="25"/>
  <c r="N17" i="20"/>
  <c r="N17" i="13"/>
  <c r="N17" i="7"/>
  <c r="M190" i="14"/>
  <c r="N164" i="35"/>
  <c r="O164" i="35" s="1"/>
  <c r="P164" i="35" s="1"/>
  <c r="N164" i="27"/>
  <c r="O164" i="27" s="1"/>
  <c r="P164" i="27" s="1"/>
  <c r="N164" i="20"/>
  <c r="O164" i="20" s="1"/>
  <c r="P164" i="20" s="1"/>
  <c r="N164" i="13"/>
  <c r="O164" i="13" s="1"/>
  <c r="P164" i="13" s="1"/>
  <c r="N164" i="10"/>
  <c r="O164" i="10" s="1"/>
  <c r="P164" i="10" s="1"/>
  <c r="N164" i="11"/>
  <c r="O164" i="11" s="1"/>
  <c r="P164" i="11" s="1"/>
  <c r="N164" i="22"/>
  <c r="O164" i="22" s="1"/>
  <c r="P164" i="22" s="1"/>
  <c r="N164" i="7"/>
  <c r="O164" i="7" s="1"/>
  <c r="P164" i="7" s="1"/>
  <c r="N164" i="24"/>
  <c r="O164" i="24" s="1"/>
  <c r="P164" i="24" s="1"/>
  <c r="N164" i="6"/>
  <c r="O164" i="6" s="1"/>
  <c r="P164" i="6" s="1"/>
  <c r="N164" i="23"/>
  <c r="O164" i="23" s="1"/>
  <c r="P164" i="23" s="1"/>
  <c r="N164" i="25"/>
  <c r="O164" i="25" s="1"/>
  <c r="P164" i="25" s="1"/>
  <c r="N164" i="21"/>
  <c r="O164" i="21" s="1"/>
  <c r="P164" i="21" s="1"/>
  <c r="N164" i="5"/>
  <c r="O164" i="5" s="1"/>
  <c r="P164" i="5" s="1"/>
  <c r="N164" i="19"/>
  <c r="O164" i="19" s="1"/>
  <c r="P164" i="19" s="1"/>
  <c r="N60" i="35"/>
  <c r="N60" i="25"/>
  <c r="N60" i="27"/>
  <c r="N60" i="21"/>
  <c r="N60" i="6"/>
  <c r="N60" i="13"/>
  <c r="N60" i="5"/>
  <c r="N60" i="19"/>
  <c r="N60" i="24"/>
  <c r="N60" i="11"/>
  <c r="N60" i="23"/>
  <c r="N60" i="10"/>
  <c r="N60" i="22"/>
  <c r="N60" i="20"/>
  <c r="N60" i="7"/>
  <c r="N42" i="35"/>
  <c r="N42" i="20"/>
  <c r="N42" i="11"/>
  <c r="N42" i="6"/>
  <c r="N42" i="23"/>
  <c r="N42" i="5"/>
  <c r="N42" i="22"/>
  <c r="N42" i="21"/>
  <c r="N42" i="24"/>
  <c r="N42" i="25"/>
  <c r="N42" i="13"/>
  <c r="N42" i="7"/>
  <c r="N42" i="10"/>
  <c r="N42" i="27"/>
  <c r="N42" i="19"/>
  <c r="N88" i="35"/>
  <c r="N88" i="27"/>
  <c r="N88" i="19"/>
  <c r="N88" i="10"/>
  <c r="N88" i="24"/>
  <c r="N88" i="13"/>
  <c r="N88" i="7"/>
  <c r="N88" i="23"/>
  <c r="N88" i="5"/>
  <c r="N88" i="22"/>
  <c r="N88" i="20"/>
  <c r="N88" i="6"/>
  <c r="N88" i="25"/>
  <c r="N88" i="21"/>
  <c r="N88" i="11"/>
  <c r="N39" i="35"/>
  <c r="N39" i="7"/>
  <c r="N39" i="21"/>
  <c r="N39" i="11"/>
  <c r="N39" i="23"/>
  <c r="N39" i="25"/>
  <c r="N39" i="27"/>
  <c r="N39" i="24"/>
  <c r="N39" i="20"/>
  <c r="N39" i="13"/>
  <c r="N39" i="10"/>
  <c r="N39" i="6"/>
  <c r="N39" i="5"/>
  <c r="N39" i="19"/>
  <c r="N39" i="22"/>
  <c r="N138" i="35"/>
  <c r="N138" i="5"/>
  <c r="N138" i="10"/>
  <c r="N138" i="22"/>
  <c r="N138" i="24"/>
  <c r="N138" i="20"/>
  <c r="N138" i="6"/>
  <c r="N138" i="13"/>
  <c r="N138" i="19"/>
  <c r="N138" i="27"/>
  <c r="N138" i="11"/>
  <c r="N138" i="25"/>
  <c r="N138" i="7"/>
  <c r="N138" i="23"/>
  <c r="N138" i="21"/>
  <c r="N158" i="35"/>
  <c r="N158" i="5"/>
  <c r="N158" i="10"/>
  <c r="N158" i="22"/>
  <c r="N158" i="24"/>
  <c r="N158" i="20"/>
  <c r="N158" i="6"/>
  <c r="N158" i="13"/>
  <c r="N158" i="11"/>
  <c r="N158" i="19"/>
  <c r="N158" i="23"/>
  <c r="N158" i="27"/>
  <c r="N158" i="25"/>
  <c r="N158" i="21"/>
  <c r="N158" i="7"/>
  <c r="N54" i="35"/>
  <c r="N54" i="27"/>
  <c r="N54" i="19"/>
  <c r="N54" i="10"/>
  <c r="N54" i="24"/>
  <c r="N54" i="13"/>
  <c r="N54" i="7"/>
  <c r="N54" i="23"/>
  <c r="N54" i="5"/>
  <c r="N54" i="22"/>
  <c r="N54" i="25"/>
  <c r="N54" i="21"/>
  <c r="N54" i="11"/>
  <c r="N54" i="20"/>
  <c r="N54" i="6"/>
  <c r="N151" i="35"/>
  <c r="N151" i="21"/>
  <c r="N151" i="7"/>
  <c r="N151" i="10"/>
  <c r="N151" i="20"/>
  <c r="N151" i="24"/>
  <c r="N151" i="25"/>
  <c r="N151" i="6"/>
  <c r="N151" i="19"/>
  <c r="N151" i="13"/>
  <c r="N151" i="27"/>
  <c r="N151" i="23"/>
  <c r="N151" i="22"/>
  <c r="N151" i="5"/>
  <c r="N151" i="11"/>
  <c r="N181" i="35"/>
  <c r="N181" i="11"/>
  <c r="N181" i="20"/>
  <c r="N181" i="10"/>
  <c r="N181" i="19"/>
  <c r="N181" i="25"/>
  <c r="N181" i="22"/>
  <c r="N181" i="6"/>
  <c r="N181" i="24"/>
  <c r="N181" i="13"/>
  <c r="N181" i="23"/>
  <c r="N181" i="27"/>
  <c r="N181" i="21"/>
  <c r="N181" i="7"/>
  <c r="N181" i="5"/>
  <c r="N81" i="35"/>
  <c r="N81" i="25"/>
  <c r="N81" i="7"/>
  <c r="N81" i="5"/>
  <c r="N81" i="19"/>
  <c r="N81" i="27"/>
  <c r="N81" i="21"/>
  <c r="N81" i="23"/>
  <c r="N81" i="20"/>
  <c r="N81" i="11"/>
  <c r="N81" i="13"/>
  <c r="N81" i="10"/>
  <c r="N81" i="24"/>
  <c r="N81" i="6"/>
  <c r="N81" i="22"/>
  <c r="N113" i="35"/>
  <c r="N113" i="22"/>
  <c r="N113" i="25"/>
  <c r="N113" i="13"/>
  <c r="N113" i="7"/>
  <c r="N113" i="23"/>
  <c r="N113" i="24"/>
  <c r="N113" i="11"/>
  <c r="N113" i="6"/>
  <c r="N113" i="5"/>
  <c r="N113" i="21"/>
  <c r="N113" i="10"/>
  <c r="N113" i="27"/>
  <c r="N113" i="19"/>
  <c r="N113" i="20"/>
  <c r="N31" i="35"/>
  <c r="N31" i="5"/>
  <c r="N31" i="10"/>
  <c r="N31" i="22"/>
  <c r="N31" i="24"/>
  <c r="N31" i="20"/>
  <c r="N31" i="6"/>
  <c r="N31" i="19"/>
  <c r="N31" i="23"/>
  <c r="N31" i="21"/>
  <c r="N31" i="13"/>
  <c r="N31" i="25"/>
  <c r="N31" i="11"/>
  <c r="N31" i="27"/>
  <c r="N31" i="7"/>
  <c r="N75" i="35"/>
  <c r="N75" i="10"/>
  <c r="N75" i="24"/>
  <c r="N75" i="27"/>
  <c r="N75" i="19"/>
  <c r="N75" i="22"/>
  <c r="N75" i="25"/>
  <c r="N75" i="21"/>
  <c r="N75" i="13"/>
  <c r="N75" i="23"/>
  <c r="N75" i="20"/>
  <c r="N75" i="7"/>
  <c r="N75" i="6"/>
  <c r="N75" i="5"/>
  <c r="N75" i="11"/>
  <c r="N28" i="35"/>
  <c r="N28" i="27"/>
  <c r="N28" i="19"/>
  <c r="N28" i="13"/>
  <c r="N28" i="7"/>
  <c r="N28" i="23"/>
  <c r="N28" i="5"/>
  <c r="N28" i="10"/>
  <c r="N28" i="11"/>
  <c r="N28" i="20"/>
  <c r="N28" i="21"/>
  <c r="N28" i="24"/>
  <c r="N28" i="22"/>
  <c r="N28" i="6"/>
  <c r="N28" i="25"/>
  <c r="N117" i="35"/>
  <c r="N117" i="10"/>
  <c r="N117" i="24"/>
  <c r="N117" i="27"/>
  <c r="N117" i="19"/>
  <c r="N117" i="22"/>
  <c r="N117" i="25"/>
  <c r="N117" i="21"/>
  <c r="N117" i="7"/>
  <c r="N117" i="13"/>
  <c r="N117" i="6"/>
  <c r="N117" i="11"/>
  <c r="N117" i="23"/>
  <c r="N117" i="5"/>
  <c r="N117" i="20"/>
  <c r="N146" i="35"/>
  <c r="N146" i="10"/>
  <c r="N146" i="24"/>
  <c r="N146" i="27"/>
  <c r="N146" i="19"/>
  <c r="N146" i="22"/>
  <c r="N146" i="25"/>
  <c r="N146" i="21"/>
  <c r="N146" i="7"/>
  <c r="N146" i="5"/>
  <c r="N146" i="13"/>
  <c r="N146" i="11"/>
  <c r="N146" i="23"/>
  <c r="N146" i="20"/>
  <c r="N146" i="6"/>
  <c r="N43" i="35"/>
  <c r="N43" i="5"/>
  <c r="N43" i="10"/>
  <c r="N43" i="22"/>
  <c r="N43" i="24"/>
  <c r="N43" i="20"/>
  <c r="N43" i="6"/>
  <c r="N43" i="19"/>
  <c r="N43" i="27"/>
  <c r="N43" i="13"/>
  <c r="N43" i="25"/>
  <c r="N43" i="23"/>
  <c r="N43" i="21"/>
  <c r="N43" i="11"/>
  <c r="N43" i="7"/>
  <c r="N154" i="35"/>
  <c r="N154" i="7"/>
  <c r="N154" i="21"/>
  <c r="N154" i="11"/>
  <c r="N154" i="23"/>
  <c r="N154" i="22"/>
  <c r="N154" i="5"/>
  <c r="N154" i="25"/>
  <c r="N154" i="27"/>
  <c r="N154" i="10"/>
  <c r="N154" i="13"/>
  <c r="N154" i="24"/>
  <c r="N154" i="20"/>
  <c r="N154" i="6"/>
  <c r="N154" i="19"/>
  <c r="N57" i="35"/>
  <c r="O57" i="35" s="1"/>
  <c r="P57" i="35" s="1"/>
  <c r="N57" i="25"/>
  <c r="O57" i="25" s="1"/>
  <c r="P57" i="25" s="1"/>
  <c r="N57" i="7"/>
  <c r="O57" i="7" s="1"/>
  <c r="P57" i="7" s="1"/>
  <c r="N57" i="21"/>
  <c r="O57" i="21" s="1"/>
  <c r="P57" i="21" s="1"/>
  <c r="N57" i="27"/>
  <c r="O57" i="27" s="1"/>
  <c r="P57" i="27" s="1"/>
  <c r="N57" i="6"/>
  <c r="O57" i="6" s="1"/>
  <c r="P57" i="6" s="1"/>
  <c r="N57" i="22"/>
  <c r="O57" i="22" s="1"/>
  <c r="P57" i="22" s="1"/>
  <c r="N57" i="24"/>
  <c r="O57" i="24" s="1"/>
  <c r="P57" i="24" s="1"/>
  <c r="N57" i="23"/>
  <c r="O57" i="23" s="1"/>
  <c r="P57" i="23" s="1"/>
  <c r="N57" i="10"/>
  <c r="O57" i="10" s="1"/>
  <c r="P57" i="10" s="1"/>
  <c r="N57" i="5"/>
  <c r="O57" i="5" s="1"/>
  <c r="P57" i="5" s="1"/>
  <c r="N57" i="11"/>
  <c r="O57" i="11" s="1"/>
  <c r="P57" i="11" s="1"/>
  <c r="N57" i="20"/>
  <c r="O57" i="20" s="1"/>
  <c r="P57" i="20" s="1"/>
  <c r="N57" i="13"/>
  <c r="O57" i="13" s="1"/>
  <c r="P57" i="13" s="1"/>
  <c r="N57" i="19"/>
  <c r="O57" i="19" s="1"/>
  <c r="P57" i="19" s="1"/>
  <c r="N118" i="35"/>
  <c r="O118" i="35" s="1"/>
  <c r="P118" i="35" s="1"/>
  <c r="N118" i="11"/>
  <c r="O118" i="11" s="1"/>
  <c r="P118" i="11" s="1"/>
  <c r="N118" i="20"/>
  <c r="O118" i="20" s="1"/>
  <c r="P118" i="20" s="1"/>
  <c r="N118" i="6"/>
  <c r="O118" i="6" s="1"/>
  <c r="P118" i="6" s="1"/>
  <c r="N118" i="25"/>
  <c r="O118" i="25" s="1"/>
  <c r="P118" i="25" s="1"/>
  <c r="N118" i="23"/>
  <c r="O118" i="23" s="1"/>
  <c r="P118" i="23" s="1"/>
  <c r="N118" i="27"/>
  <c r="O118" i="27" s="1"/>
  <c r="P118" i="27" s="1"/>
  <c r="N118" i="19"/>
  <c r="O118" i="19" s="1"/>
  <c r="P118" i="19" s="1"/>
  <c r="N118" i="22"/>
  <c r="O118" i="22" s="1"/>
  <c r="P118" i="22" s="1"/>
  <c r="N118" i="24"/>
  <c r="O118" i="24" s="1"/>
  <c r="P118" i="24" s="1"/>
  <c r="N118" i="7"/>
  <c r="O118" i="7" s="1"/>
  <c r="P118" i="7" s="1"/>
  <c r="N118" i="13"/>
  <c r="O118" i="13" s="1"/>
  <c r="P118" i="13" s="1"/>
  <c r="N118" i="21"/>
  <c r="O118" i="21" s="1"/>
  <c r="P118" i="21" s="1"/>
  <c r="N118" i="5"/>
  <c r="O118" i="5" s="1"/>
  <c r="P118" i="5" s="1"/>
  <c r="N118" i="10"/>
  <c r="O118" i="10" s="1"/>
  <c r="P118" i="10" s="1"/>
  <c r="N178" i="35"/>
  <c r="N178" i="27"/>
  <c r="N178" i="19"/>
  <c r="N178" i="10"/>
  <c r="N178" i="24"/>
  <c r="N178" i="13"/>
  <c r="N178" i="7"/>
  <c r="N178" i="23"/>
  <c r="N178" i="5"/>
  <c r="N178" i="22"/>
  <c r="N178" i="20"/>
  <c r="N178" i="21"/>
  <c r="N178" i="11"/>
  <c r="N178" i="6"/>
  <c r="N178" i="25"/>
  <c r="N70" i="35"/>
  <c r="N70" i="5"/>
  <c r="N70" i="19"/>
  <c r="N70" i="27"/>
  <c r="N70" i="20"/>
  <c r="N70" i="13"/>
  <c r="N70" i="10"/>
  <c r="N70" i="22"/>
  <c r="N70" i="11"/>
  <c r="N70" i="25"/>
  <c r="N70" i="24"/>
  <c r="N70" i="21"/>
  <c r="N70" i="7"/>
  <c r="N70" i="6"/>
  <c r="N70" i="23"/>
  <c r="N101" i="35"/>
  <c r="O101" i="35" s="1"/>
  <c r="P101" i="35" s="1"/>
  <c r="N101" i="6"/>
  <c r="O101" i="6" s="1"/>
  <c r="P101" i="6" s="1"/>
  <c r="N101" i="22"/>
  <c r="O101" i="22" s="1"/>
  <c r="P101" i="22" s="1"/>
  <c r="N101" i="21"/>
  <c r="O101" i="21" s="1"/>
  <c r="P101" i="21" s="1"/>
  <c r="N101" i="5"/>
  <c r="O101" i="5" s="1"/>
  <c r="P101" i="5" s="1"/>
  <c r="N101" i="23"/>
  <c r="O101" i="23" s="1"/>
  <c r="P101" i="23" s="1"/>
  <c r="N101" i="19"/>
  <c r="O101" i="19" s="1"/>
  <c r="P101" i="19" s="1"/>
  <c r="N101" i="13"/>
  <c r="O101" i="13" s="1"/>
  <c r="P101" i="13" s="1"/>
  <c r="N101" i="24"/>
  <c r="O101" i="24" s="1"/>
  <c r="P101" i="24" s="1"/>
  <c r="N101" i="20"/>
  <c r="O101" i="20" s="1"/>
  <c r="P101" i="20" s="1"/>
  <c r="N101" i="11"/>
  <c r="O101" i="11" s="1"/>
  <c r="P101" i="11" s="1"/>
  <c r="N101" i="25"/>
  <c r="O101" i="25" s="1"/>
  <c r="P101" i="25" s="1"/>
  <c r="N101" i="27"/>
  <c r="O101" i="27" s="1"/>
  <c r="P101" i="27" s="1"/>
  <c r="N101" i="10"/>
  <c r="O101" i="10" s="1"/>
  <c r="P101" i="10" s="1"/>
  <c r="N101" i="7"/>
  <c r="O101" i="7" s="1"/>
  <c r="P101" i="7" s="1"/>
  <c r="N139" i="35"/>
  <c r="O139" i="35" s="1"/>
  <c r="P139" i="35" s="1"/>
  <c r="N139" i="11"/>
  <c r="O139" i="11" s="1"/>
  <c r="P139" i="11" s="1"/>
  <c r="N139" i="5"/>
  <c r="O139" i="5" s="1"/>
  <c r="P139" i="5" s="1"/>
  <c r="N139" i="25"/>
  <c r="O139" i="25" s="1"/>
  <c r="P139" i="25" s="1"/>
  <c r="N139" i="27"/>
  <c r="O139" i="27" s="1"/>
  <c r="P139" i="27" s="1"/>
  <c r="N139" i="19"/>
  <c r="O139" i="19" s="1"/>
  <c r="P139" i="19" s="1"/>
  <c r="N139" i="10"/>
  <c r="O139" i="10" s="1"/>
  <c r="P139" i="10" s="1"/>
  <c r="N139" i="6"/>
  <c r="O139" i="6" s="1"/>
  <c r="P139" i="6" s="1"/>
  <c r="N139" i="21"/>
  <c r="O139" i="21" s="1"/>
  <c r="P139" i="21" s="1"/>
  <c r="N139" i="20"/>
  <c r="O139" i="20" s="1"/>
  <c r="P139" i="20" s="1"/>
  <c r="N139" i="24"/>
  <c r="O139" i="24" s="1"/>
  <c r="P139" i="24" s="1"/>
  <c r="N139" i="23"/>
  <c r="O139" i="23" s="1"/>
  <c r="P139" i="23" s="1"/>
  <c r="N139" i="22"/>
  <c r="O139" i="22" s="1"/>
  <c r="P139" i="22" s="1"/>
  <c r="N139" i="7"/>
  <c r="O139" i="7" s="1"/>
  <c r="P139" i="7" s="1"/>
  <c r="N139" i="13"/>
  <c r="O139" i="13" s="1"/>
  <c r="P139" i="13" s="1"/>
  <c r="N24" i="35"/>
  <c r="N24" i="21"/>
  <c r="N24" i="25"/>
  <c r="N24" i="11"/>
  <c r="N24" i="27"/>
  <c r="N24" i="23"/>
  <c r="N24" i="7"/>
  <c r="N24" i="24"/>
  <c r="N24" i="20"/>
  <c r="N24" i="22"/>
  <c r="N24" i="6"/>
  <c r="N24" i="13"/>
  <c r="N24" i="5"/>
  <c r="N24" i="19"/>
  <c r="N24" i="10"/>
  <c r="N106" i="35"/>
  <c r="N106" i="27"/>
  <c r="N106" i="19"/>
  <c r="N106" i="10"/>
  <c r="N106" i="24"/>
  <c r="N106" i="13"/>
  <c r="N106" i="7"/>
  <c r="N106" i="23"/>
  <c r="N106" i="5"/>
  <c r="N106" i="22"/>
  <c r="N106" i="21"/>
  <c r="N106" i="6"/>
  <c r="N106" i="25"/>
  <c r="N106" i="11"/>
  <c r="N106" i="20"/>
  <c r="N133" i="35"/>
  <c r="N133" i="10"/>
  <c r="N133" i="24"/>
  <c r="N133" i="27"/>
  <c r="N133" i="19"/>
  <c r="N133" i="22"/>
  <c r="N133" i="25"/>
  <c r="N133" i="21"/>
  <c r="N133" i="7"/>
  <c r="N133" i="6"/>
  <c r="N133" i="13"/>
  <c r="N133" i="23"/>
  <c r="N133" i="11"/>
  <c r="N133" i="5"/>
  <c r="N133" i="20"/>
  <c r="N131" i="35"/>
  <c r="N131" i="10"/>
  <c r="N131" i="22"/>
  <c r="N131" i="5"/>
  <c r="N131" i="13"/>
  <c r="N131" i="19"/>
  <c r="N131" i="25"/>
  <c r="N131" i="27"/>
  <c r="N131" i="20"/>
  <c r="N131" i="11"/>
  <c r="N131" i="24"/>
  <c r="N131" i="21"/>
  <c r="N131" i="7"/>
  <c r="N131" i="6"/>
  <c r="N131" i="23"/>
  <c r="N161" i="35"/>
  <c r="N161" i="10"/>
  <c r="N161" i="24"/>
  <c r="N161" i="27"/>
  <c r="N161" i="19"/>
  <c r="N161" i="22"/>
  <c r="N161" i="25"/>
  <c r="N161" i="21"/>
  <c r="N161" i="7"/>
  <c r="N161" i="5"/>
  <c r="N161" i="13"/>
  <c r="N161" i="23"/>
  <c r="N161" i="6"/>
  <c r="N161" i="11"/>
  <c r="N161" i="20"/>
  <c r="N29" i="35"/>
  <c r="N29" i="10"/>
  <c r="N29" i="22"/>
  <c r="N29" i="13"/>
  <c r="N29" i="19"/>
  <c r="N29" i="25"/>
  <c r="N29" i="27"/>
  <c r="N29" i="11"/>
  <c r="N29" i="6"/>
  <c r="N29" i="5"/>
  <c r="N29" i="20"/>
  <c r="N29" i="24"/>
  <c r="N29" i="23"/>
  <c r="N29" i="7"/>
  <c r="N29" i="21"/>
  <c r="N128" i="35"/>
  <c r="N128" i="20"/>
  <c r="N128" i="11"/>
  <c r="N128" i="6"/>
  <c r="N128" i="23"/>
  <c r="N128" i="5"/>
  <c r="N128" i="22"/>
  <c r="N128" i="25"/>
  <c r="N128" i="21"/>
  <c r="N128" i="13"/>
  <c r="N128" i="24"/>
  <c r="N128" i="7"/>
  <c r="N128" i="27"/>
  <c r="N128" i="19"/>
  <c r="N128" i="10"/>
  <c r="N47" i="35"/>
  <c r="N47" i="5"/>
  <c r="N47" i="10"/>
  <c r="N47" i="22"/>
  <c r="N47" i="24"/>
  <c r="N47" i="20"/>
  <c r="N47" i="6"/>
  <c r="N47" i="13"/>
  <c r="N47" i="19"/>
  <c r="N47" i="11"/>
  <c r="N47" i="25"/>
  <c r="N47" i="23"/>
  <c r="N47" i="27"/>
  <c r="N47" i="21"/>
  <c r="N47" i="7"/>
  <c r="N175" i="35"/>
  <c r="N175" i="10"/>
  <c r="N175" i="22"/>
  <c r="N175" i="5"/>
  <c r="N175" i="13"/>
  <c r="N175" i="19"/>
  <c r="N175" i="25"/>
  <c r="N175" i="27"/>
  <c r="N175" i="24"/>
  <c r="N175" i="7"/>
  <c r="N175" i="6"/>
  <c r="N175" i="20"/>
  <c r="N175" i="23"/>
  <c r="N175" i="21"/>
  <c r="N175" i="11"/>
  <c r="N129" i="35"/>
  <c r="N129" i="11"/>
  <c r="N129" i="6"/>
  <c r="N129" i="23"/>
  <c r="N129" i="19"/>
  <c r="N129" i="22"/>
  <c r="N129" i="20"/>
  <c r="N129" i="13"/>
  <c r="N129" i="10"/>
  <c r="N129" i="25"/>
  <c r="N129" i="27"/>
  <c r="N129" i="7"/>
  <c r="N129" i="5"/>
  <c r="N129" i="24"/>
  <c r="N129" i="21"/>
  <c r="N107" i="35"/>
  <c r="N107" i="10"/>
  <c r="N107" i="22"/>
  <c r="N107" i="5"/>
  <c r="N107" i="13"/>
  <c r="N107" i="19"/>
  <c r="N107" i="25"/>
  <c r="N107" i="27"/>
  <c r="N107" i="24"/>
  <c r="N107" i="20"/>
  <c r="N107" i="7"/>
  <c r="N107" i="23"/>
  <c r="N107" i="21"/>
  <c r="N107" i="6"/>
  <c r="N107" i="11"/>
  <c r="N69" i="35"/>
  <c r="N69" i="10"/>
  <c r="N69" i="24"/>
  <c r="N69" i="27"/>
  <c r="N69" i="19"/>
  <c r="N69" i="22"/>
  <c r="N69" i="25"/>
  <c r="N69" i="21"/>
  <c r="N69" i="7"/>
  <c r="N69" i="6"/>
  <c r="N69" i="5"/>
  <c r="N69" i="13"/>
  <c r="N69" i="11"/>
  <c r="N69" i="23"/>
  <c r="N69" i="20"/>
  <c r="N53" i="35"/>
  <c r="N53" i="5"/>
  <c r="N53" i="10"/>
  <c r="N53" i="22"/>
  <c r="N53" i="24"/>
  <c r="N53" i="20"/>
  <c r="N53" i="6"/>
  <c r="N53" i="19"/>
  <c r="N53" i="13"/>
  <c r="N53" i="23"/>
  <c r="N53" i="11"/>
  <c r="N53" i="25"/>
  <c r="N53" i="27"/>
  <c r="N53" i="21"/>
  <c r="N53" i="7"/>
  <c r="N65" i="35"/>
  <c r="N65" i="20"/>
  <c r="N65" i="11"/>
  <c r="N65" i="6"/>
  <c r="N65" i="23"/>
  <c r="N65" i="5"/>
  <c r="N65" i="22"/>
  <c r="N65" i="25"/>
  <c r="N65" i="21"/>
  <c r="N65" i="7"/>
  <c r="N65" i="24"/>
  <c r="N65" i="27"/>
  <c r="N65" i="19"/>
  <c r="N65" i="10"/>
  <c r="N65" i="13"/>
  <c r="N80" i="35"/>
  <c r="N80" i="27"/>
  <c r="N80" i="19"/>
  <c r="N80" i="10"/>
  <c r="N80" i="24"/>
  <c r="N80" i="11"/>
  <c r="N80" i="25"/>
  <c r="N80" i="13"/>
  <c r="N80" i="7"/>
  <c r="N80" i="6"/>
  <c r="N80" i="20"/>
  <c r="N80" i="23"/>
  <c r="N80" i="5"/>
  <c r="N80" i="22"/>
  <c r="N80" i="21"/>
  <c r="N142" i="35"/>
  <c r="N142" i="23"/>
  <c r="N142" i="5"/>
  <c r="N142" i="19"/>
  <c r="N142" i="25"/>
  <c r="N142" i="21"/>
  <c r="N142" i="7"/>
  <c r="N142" i="22"/>
  <c r="N142" i="10"/>
  <c r="N142" i="24"/>
  <c r="N142" i="13"/>
  <c r="N142" i="11"/>
  <c r="N142" i="6"/>
  <c r="N142" i="27"/>
  <c r="N142" i="20"/>
  <c r="N50" i="35"/>
  <c r="N50" i="11"/>
  <c r="N50" i="23"/>
  <c r="N50" i="27"/>
  <c r="N50" i="24"/>
  <c r="N50" i="6"/>
  <c r="N50" i="5"/>
  <c r="N50" i="7"/>
  <c r="N50" i="19"/>
  <c r="N50" i="25"/>
  <c r="N50" i="20"/>
  <c r="N50" i="10"/>
  <c r="N50" i="13"/>
  <c r="N50" i="22"/>
  <c r="N50" i="21"/>
  <c r="N114" i="35"/>
  <c r="N114" i="10"/>
  <c r="N114" i="22"/>
  <c r="N114" i="7"/>
  <c r="N114" i="5"/>
  <c r="N114" i="11"/>
  <c r="N114" i="23"/>
  <c r="N114" i="13"/>
  <c r="N114" i="19"/>
  <c r="N114" i="21"/>
  <c r="N114" i="6"/>
  <c r="N114" i="25"/>
  <c r="N114" i="27"/>
  <c r="N114" i="24"/>
  <c r="N114" i="20"/>
  <c r="N96" i="35"/>
  <c r="N96" i="10"/>
  <c r="N96" i="24"/>
  <c r="N96" i="6"/>
  <c r="N96" i="19"/>
  <c r="N96" i="22"/>
  <c r="N96" i="20"/>
  <c r="N96" i="13"/>
  <c r="N96" i="5"/>
  <c r="N96" i="21"/>
  <c r="N96" i="27"/>
  <c r="N96" i="11"/>
  <c r="N96" i="25"/>
  <c r="N96" i="7"/>
  <c r="N96" i="23"/>
  <c r="N45" i="35"/>
  <c r="N45" i="10"/>
  <c r="N45" i="22"/>
  <c r="N45" i="5"/>
  <c r="N45" i="13"/>
  <c r="N45" i="19"/>
  <c r="N45" i="25"/>
  <c r="N45" i="27"/>
  <c r="N45" i="20"/>
  <c r="N45" i="23"/>
  <c r="N45" i="21"/>
  <c r="N45" i="11"/>
  <c r="N45" i="24"/>
  <c r="N45" i="7"/>
  <c r="N45" i="6"/>
  <c r="N100" i="35"/>
  <c r="N100" i="5"/>
  <c r="N100" i="10"/>
  <c r="N100" i="22"/>
  <c r="N100" i="24"/>
  <c r="N100" i="20"/>
  <c r="N100" i="6"/>
  <c r="N100" i="19"/>
  <c r="N100" i="23"/>
  <c r="N100" i="13"/>
  <c r="N100" i="11"/>
  <c r="N100" i="25"/>
  <c r="N100" i="7"/>
  <c r="N100" i="27"/>
  <c r="N100" i="21"/>
  <c r="N109" i="35"/>
  <c r="N109" i="5"/>
  <c r="N109" i="10"/>
  <c r="N109" i="22"/>
  <c r="N109" i="24"/>
  <c r="N109" i="20"/>
  <c r="N109" i="6"/>
  <c r="N109" i="13"/>
  <c r="N109" i="25"/>
  <c r="N109" i="19"/>
  <c r="N109" i="27"/>
  <c r="N109" i="11"/>
  <c r="N109" i="23"/>
  <c r="N109" i="21"/>
  <c r="N109" i="7"/>
  <c r="N130" i="35"/>
  <c r="N130" i="27"/>
  <c r="N130" i="19"/>
  <c r="N130" i="10"/>
  <c r="N130" i="24"/>
  <c r="N130" i="13"/>
  <c r="N130" i="7"/>
  <c r="N130" i="23"/>
  <c r="N130" i="5"/>
  <c r="N130" i="25"/>
  <c r="N130" i="22"/>
  <c r="N130" i="21"/>
  <c r="N130" i="20"/>
  <c r="N130" i="6"/>
  <c r="N130" i="11"/>
  <c r="N87" i="35"/>
  <c r="N87" i="10"/>
  <c r="N87" i="24"/>
  <c r="N87" i="22"/>
  <c r="N87" i="20"/>
  <c r="N87" i="21"/>
  <c r="N87" i="11"/>
  <c r="N87" i="25"/>
  <c r="N87" i="7"/>
  <c r="N87" i="5"/>
  <c r="N87" i="23"/>
  <c r="N87" i="6"/>
  <c r="N87" i="27"/>
  <c r="N87" i="13"/>
  <c r="N87" i="19"/>
  <c r="N108" i="35"/>
  <c r="N108" i="10"/>
  <c r="N108" i="24"/>
  <c r="N108" i="27"/>
  <c r="N108" i="19"/>
  <c r="N108" i="22"/>
  <c r="N108" i="25"/>
  <c r="N108" i="21"/>
  <c r="N108" i="13"/>
  <c r="N108" i="11"/>
  <c r="N108" i="7"/>
  <c r="N108" i="23"/>
  <c r="N108" i="6"/>
  <c r="N108" i="5"/>
  <c r="N108" i="20"/>
  <c r="N173" i="35"/>
  <c r="N173" i="5"/>
  <c r="N173" i="10"/>
  <c r="N173" i="22"/>
  <c r="N173" i="24"/>
  <c r="N173" i="20"/>
  <c r="N173" i="6"/>
  <c r="N173" i="19"/>
  <c r="N173" i="21"/>
  <c r="N173" i="13"/>
  <c r="N173" i="23"/>
  <c r="N173" i="27"/>
  <c r="N173" i="11"/>
  <c r="N173" i="25"/>
  <c r="N173" i="7"/>
  <c r="N176" i="35"/>
  <c r="N176" i="10"/>
  <c r="N176" i="24"/>
  <c r="N176" i="27"/>
  <c r="N176" i="19"/>
  <c r="N176" i="22"/>
  <c r="N176" i="25"/>
  <c r="N176" i="21"/>
  <c r="N176" i="13"/>
  <c r="N176" i="7"/>
  <c r="N176" i="11"/>
  <c r="N176" i="6"/>
  <c r="N176" i="5"/>
  <c r="N176" i="23"/>
  <c r="N176" i="20"/>
  <c r="N169" i="35"/>
  <c r="N169" i="5"/>
  <c r="N169" i="10"/>
  <c r="N169" i="22"/>
  <c r="N169" i="24"/>
  <c r="N169" i="20"/>
  <c r="N169" i="6"/>
  <c r="N169" i="13"/>
  <c r="N169" i="19"/>
  <c r="N169" i="23"/>
  <c r="N169" i="27"/>
  <c r="N169" i="7"/>
  <c r="N169" i="21"/>
  <c r="N169" i="11"/>
  <c r="N169" i="25"/>
  <c r="N174" i="35"/>
  <c r="N174" i="27"/>
  <c r="N174" i="19"/>
  <c r="N174" i="10"/>
  <c r="N174" i="24"/>
  <c r="N174" i="13"/>
  <c r="N174" i="7"/>
  <c r="N174" i="23"/>
  <c r="N174" i="5"/>
  <c r="N174" i="22"/>
  <c r="N174" i="25"/>
  <c r="N174" i="6"/>
  <c r="N174" i="11"/>
  <c r="N174" i="20"/>
  <c r="N174" i="21"/>
  <c r="N83" i="35"/>
  <c r="N83" i="10"/>
  <c r="N83" i="22"/>
  <c r="N83" i="5"/>
  <c r="N83" i="13"/>
  <c r="N83" i="19"/>
  <c r="N83" i="25"/>
  <c r="N83" i="27"/>
  <c r="N83" i="20"/>
  <c r="N83" i="21"/>
  <c r="N83" i="24"/>
  <c r="N83" i="6"/>
  <c r="N83" i="7"/>
  <c r="N83" i="23"/>
  <c r="N83" i="11"/>
  <c r="N25" i="35"/>
  <c r="N25" i="24"/>
  <c r="N25" i="27"/>
  <c r="N25" i="19"/>
  <c r="N25" i="11"/>
  <c r="N25" i="10"/>
  <c r="N25" i="21"/>
  <c r="N25" i="7"/>
  <c r="N25" i="23"/>
  <c r="N25" i="20"/>
  <c r="N25" i="6"/>
  <c r="N25" i="25"/>
  <c r="N25" i="5"/>
  <c r="N25" i="13"/>
  <c r="N25" i="22"/>
  <c r="N33" i="35"/>
  <c r="N33" i="5"/>
  <c r="N33" i="24"/>
  <c r="N33" i="20"/>
  <c r="N33" i="6"/>
  <c r="N33" i="10"/>
  <c r="N33" i="7"/>
  <c r="N33" i="27"/>
  <c r="N33" i="13"/>
  <c r="N33" i="21"/>
  <c r="N33" i="23"/>
  <c r="N33" i="22"/>
  <c r="N33" i="11"/>
  <c r="N33" i="25"/>
  <c r="N33" i="19"/>
  <c r="N41" i="35"/>
  <c r="N41" i="11"/>
  <c r="N41" i="23"/>
  <c r="N41" i="7"/>
  <c r="N41" i="21"/>
  <c r="N41" i="6"/>
  <c r="N41" i="13"/>
  <c r="N41" i="19"/>
  <c r="N41" i="27"/>
  <c r="N41" i="25"/>
  <c r="N41" i="10"/>
  <c r="N41" i="24"/>
  <c r="N41" i="20"/>
  <c r="N41" i="5"/>
  <c r="N41" i="22"/>
  <c r="N143" i="35"/>
  <c r="N143" i="7"/>
  <c r="N143" i="21"/>
  <c r="N143" i="6"/>
  <c r="N143" i="13"/>
  <c r="N143" i="11"/>
  <c r="N143" i="23"/>
  <c r="N143" i="22"/>
  <c r="N143" i="5"/>
  <c r="N143" i="25"/>
  <c r="N143" i="27"/>
  <c r="N143" i="10"/>
  <c r="N143" i="24"/>
  <c r="N143" i="20"/>
  <c r="N143" i="19"/>
  <c r="N91" i="35"/>
  <c r="N91" i="5"/>
  <c r="N91" i="10"/>
  <c r="N91" i="22"/>
  <c r="N91" i="24"/>
  <c r="N91" i="20"/>
  <c r="N91" i="6"/>
  <c r="N91" i="13"/>
  <c r="N91" i="11"/>
  <c r="N91" i="25"/>
  <c r="N91" i="7"/>
  <c r="N91" i="19"/>
  <c r="N91" i="23"/>
  <c r="N91" i="27"/>
  <c r="N91" i="21"/>
  <c r="N68" i="35"/>
  <c r="N68" i="10"/>
  <c r="N68" i="22"/>
  <c r="N68" i="5"/>
  <c r="N68" i="13"/>
  <c r="N68" i="19"/>
  <c r="N68" i="25"/>
  <c r="N68" i="27"/>
  <c r="N68" i="20"/>
  <c r="N68" i="11"/>
  <c r="N68" i="24"/>
  <c r="N68" i="6"/>
  <c r="N68" i="21"/>
  <c r="N68" i="7"/>
  <c r="N68" i="23"/>
  <c r="N159" i="35"/>
  <c r="N159" i="6"/>
  <c r="N159" i="10"/>
  <c r="N159" i="27"/>
  <c r="N159" i="13"/>
  <c r="N159" i="20"/>
  <c r="N159" i="23"/>
  <c r="N159" i="7"/>
  <c r="N159" i="21"/>
  <c r="N159" i="5"/>
  <c r="N159" i="25"/>
  <c r="N159" i="11"/>
  <c r="N159" i="24"/>
  <c r="N159" i="19"/>
  <c r="N159" i="22"/>
  <c r="P183" i="36" l="1"/>
  <c r="N190" i="36"/>
  <c r="N190" i="38"/>
  <c r="P183" i="38"/>
  <c r="P183" i="10"/>
  <c r="P183" i="23"/>
  <c r="P183" i="24"/>
  <c r="P183" i="13"/>
  <c r="P183" i="6"/>
  <c r="P183" i="25"/>
  <c r="P183" i="20"/>
  <c r="P183" i="11"/>
  <c r="P183" i="21"/>
  <c r="P183" i="27"/>
  <c r="P183" i="5"/>
  <c r="P183" i="7"/>
  <c r="P183" i="35"/>
  <c r="N190" i="35"/>
  <c r="N190" i="25"/>
  <c r="N190" i="13"/>
  <c r="N190" i="24"/>
  <c r="N190" i="23"/>
  <c r="N190" i="19"/>
  <c r="N190" i="6"/>
  <c r="N190" i="11"/>
  <c r="N190" i="27"/>
  <c r="N190" i="22"/>
  <c r="N190" i="10"/>
  <c r="N190" i="21"/>
  <c r="N190" i="20"/>
  <c r="N190" i="7"/>
  <c r="N190" i="5"/>
  <c r="P183" i="19"/>
  <c r="P183" i="22"/>
  <c r="G205" i="27" l="1"/>
  <c r="K15" i="27" l="1"/>
  <c r="G201" i="14"/>
  <c r="G205" i="14" s="1"/>
  <c r="G207" i="14" s="1"/>
  <c r="F201" i="14"/>
  <c r="G206" i="27"/>
  <c r="G207" i="27"/>
  <c r="K16" i="27"/>
  <c r="G206" i="14" l="1"/>
  <c r="G208" i="14" s="1"/>
  <c r="I16" i="14"/>
  <c r="I15" i="14"/>
  <c r="G208" i="27"/>
</calcChain>
</file>

<file path=xl/sharedStrings.xml><?xml version="1.0" encoding="utf-8"?>
<sst xmlns="http://schemas.openxmlformats.org/spreadsheetml/2006/main" count="5430" uniqueCount="414">
  <si>
    <t>PERIOD BEGINNING ------------&gt;</t>
  </si>
  <si>
    <t>PERIOD ENDING -----------------&gt;</t>
  </si>
  <si>
    <t>1</t>
  </si>
  <si>
    <t>2</t>
  </si>
  <si>
    <t>3</t>
  </si>
  <si>
    <t>4</t>
  </si>
  <si>
    <t>5</t>
  </si>
  <si>
    <t>6</t>
  </si>
  <si>
    <t>7</t>
  </si>
  <si>
    <t>8</t>
  </si>
  <si>
    <t>FCP AS FILED</t>
  </si>
  <si>
    <t>FCP ADJ'S</t>
  </si>
  <si>
    <t>ADJ FCP</t>
  </si>
  <si>
    <t>AUDIT ADJ'S</t>
  </si>
  <si>
    <t>AUDITED FCP</t>
  </si>
  <si>
    <t>% TO</t>
  </si>
  <si>
    <t>(COL 1 + 2)</t>
  </si>
  <si>
    <t>(COL 3 + 4)</t>
  </si>
  <si>
    <t>TOTAL</t>
  </si>
  <si>
    <t>GENERAL ADMINISTRATIVE</t>
  </si>
  <si>
    <t xml:space="preserve">Administrator Salary </t>
  </si>
  <si>
    <t>Asst. Admin. Salary</t>
  </si>
  <si>
    <t>Office Salaries and Wages</t>
  </si>
  <si>
    <t>Payroll Taxes &amp; Emp Benefits</t>
  </si>
  <si>
    <t>Management Services</t>
  </si>
  <si>
    <t>Advertising</t>
  </si>
  <si>
    <t>Telephone</t>
  </si>
  <si>
    <t>Dues, Subs, &amp; Licenses</t>
  </si>
  <si>
    <t>Off Supplies,Printing &amp; Postage</t>
  </si>
  <si>
    <t>Legal and Accounting</t>
  </si>
  <si>
    <t>Travel, Seminars &amp; Adm Trg</t>
  </si>
  <si>
    <t>Data Processing</t>
  </si>
  <si>
    <t>Amortization-Organization</t>
  </si>
  <si>
    <t>Patient Day Assessment</t>
  </si>
  <si>
    <t>Interest - Operating Loans</t>
  </si>
  <si>
    <t>Income Taxes</t>
  </si>
  <si>
    <t>Bad Debts</t>
  </si>
  <si>
    <t>Contributions</t>
  </si>
  <si>
    <t>PROPERTY AND RELATED EXPENSES</t>
  </si>
  <si>
    <t>PLANT OPERATION &amp; MAINTENANCE</t>
  </si>
  <si>
    <t>Salaries and Wages</t>
  </si>
  <si>
    <t>Payroll Tax &amp; Emp Benefit</t>
  </si>
  <si>
    <t>Equipment Rental-Short Term</t>
  </si>
  <si>
    <t>Supplies</t>
  </si>
  <si>
    <t>Purchased Services</t>
  </si>
  <si>
    <t>Repair &amp; Mnt.- Bldg &amp; Grounds</t>
  </si>
  <si>
    <t>Repair &amp; Mnt.- Equipment</t>
  </si>
  <si>
    <t>Repair &amp; Mnt.- Trans Equip</t>
  </si>
  <si>
    <t>Utilities</t>
  </si>
  <si>
    <t>TOTAL PLANT OPER &amp; MAINT</t>
  </si>
  <si>
    <t>DIETARY</t>
  </si>
  <si>
    <t>Food</t>
  </si>
  <si>
    <t>Food Supplies</t>
  </si>
  <si>
    <t>Purchased Service/Consultant</t>
  </si>
  <si>
    <t>TOTAL DIETARY</t>
  </si>
  <si>
    <t>LAUNDRY AND LINEN</t>
  </si>
  <si>
    <t>Linen and Bedding</t>
  </si>
  <si>
    <t>Purchased Service/Consultants</t>
  </si>
  <si>
    <t>TOTAL LAUNDRY &amp; LINEN</t>
  </si>
  <si>
    <t>HOUSEKEEPING</t>
  </si>
  <si>
    <t>TOTAL HOUSEKEEPING</t>
  </si>
  <si>
    <t>NURSING</t>
  </si>
  <si>
    <t>01</t>
  </si>
  <si>
    <t>Nurs Adm Sal - Med Recd, In Serv</t>
  </si>
  <si>
    <t>02</t>
  </si>
  <si>
    <t>Nurs Adm Payroll Tax &amp; Benefits</t>
  </si>
  <si>
    <t>03</t>
  </si>
  <si>
    <t>Nursing Direct Care Sal &amp; Wages</t>
  </si>
  <si>
    <t>04</t>
  </si>
  <si>
    <t>Medical Supplies</t>
  </si>
  <si>
    <t>OSHA/CDC Required Expense</t>
  </si>
  <si>
    <t>TOTAL NURSING</t>
  </si>
  <si>
    <t>RECREATIONAL ACTIVITIES &amp; SPECIAL SERVICES</t>
  </si>
  <si>
    <t>Salaries &amp; Wages</t>
  </si>
  <si>
    <t>Other (Attach Schedule)</t>
  </si>
  <si>
    <t>ACTIVE TREATMENT</t>
  </si>
  <si>
    <t>Payroll Taxes and Emp Benefits</t>
  </si>
  <si>
    <t>Purchased Services/Consultants</t>
  </si>
  <si>
    <t>Speech/Audio Therapist</t>
  </si>
  <si>
    <t>Occupational Therapist</t>
  </si>
  <si>
    <t>Recreational Therapist</t>
  </si>
  <si>
    <t>Physical Therapist</t>
  </si>
  <si>
    <t>Social Services Worker</t>
  </si>
  <si>
    <t>Day Treatment In House</t>
  </si>
  <si>
    <t>Adaptive Equip-Repairs &amp; Maint</t>
  </si>
  <si>
    <t>Programing</t>
  </si>
  <si>
    <t>TOTAL ACTIVE TREATMENT</t>
  </si>
  <si>
    <t>PRIVATE DAYS</t>
  </si>
  <si>
    <t>RESPITE/OTHER DAYS</t>
  </si>
  <si>
    <t>TOTAL PATIENT DAYS</t>
  </si>
  <si>
    <t>CALENDAR DAYS IN PERIOD</t>
  </si>
  <si>
    <t xml:space="preserve">TOTAL REVENUE </t>
  </si>
  <si>
    <t>030-00</t>
  </si>
  <si>
    <t xml:space="preserve">     310</t>
  </si>
  <si>
    <t xml:space="preserve">     320</t>
  </si>
  <si>
    <t xml:space="preserve">     330</t>
  </si>
  <si>
    <t xml:space="preserve">     340</t>
  </si>
  <si>
    <t xml:space="preserve">     350</t>
  </si>
  <si>
    <t>040-00</t>
  </si>
  <si>
    <t xml:space="preserve">     380</t>
  </si>
  <si>
    <t xml:space="preserve">     390</t>
  </si>
  <si>
    <t>050-00</t>
  </si>
  <si>
    <t xml:space="preserve">     420</t>
  </si>
  <si>
    <t>060-00</t>
  </si>
  <si>
    <t>070-00</t>
  </si>
  <si>
    <t>080-00</t>
  </si>
  <si>
    <t xml:space="preserve">     490</t>
  </si>
  <si>
    <t>Non Medical Supplies (Charts &amp; Forms)</t>
  </si>
  <si>
    <t>Oxygen Equipment &amp; Rental</t>
  </si>
  <si>
    <t>010-00</t>
  </si>
  <si>
    <t xml:space="preserve">     010</t>
  </si>
  <si>
    <t xml:space="preserve">     011</t>
  </si>
  <si>
    <t xml:space="preserve">     012</t>
  </si>
  <si>
    <t xml:space="preserve">     040</t>
  </si>
  <si>
    <t xml:space="preserve">     060</t>
  </si>
  <si>
    <t xml:space="preserve">     070</t>
  </si>
  <si>
    <t xml:space="preserve">     080</t>
  </si>
  <si>
    <t xml:space="preserve">     090</t>
  </si>
  <si>
    <t xml:space="preserve">     100</t>
  </si>
  <si>
    <t xml:space="preserve">     110</t>
  </si>
  <si>
    <t xml:space="preserve">     120</t>
  </si>
  <si>
    <t xml:space="preserve">     140</t>
  </si>
  <si>
    <t xml:space="preserve">     150</t>
  </si>
  <si>
    <t xml:space="preserve">     160</t>
  </si>
  <si>
    <t xml:space="preserve">     170</t>
  </si>
  <si>
    <t xml:space="preserve">     180</t>
  </si>
  <si>
    <t xml:space="preserve">     190</t>
  </si>
  <si>
    <t xml:space="preserve">     200</t>
  </si>
  <si>
    <t xml:space="preserve">     210</t>
  </si>
  <si>
    <t>020-00</t>
  </si>
  <si>
    <t xml:space="preserve">     230</t>
  </si>
  <si>
    <t xml:space="preserve">     240</t>
  </si>
  <si>
    <t xml:space="preserve">     250</t>
  </si>
  <si>
    <t xml:space="preserve">     260</t>
  </si>
  <si>
    <t xml:space="preserve">     270</t>
  </si>
  <si>
    <t xml:space="preserve">     013</t>
  </si>
  <si>
    <t xml:space="preserve">     041</t>
  </si>
  <si>
    <t>090-00</t>
  </si>
  <si>
    <t xml:space="preserve">     313</t>
  </si>
  <si>
    <t xml:space="preserve">     314</t>
  </si>
  <si>
    <t xml:space="preserve">     315</t>
  </si>
  <si>
    <t xml:space="preserve">     318</t>
  </si>
  <si>
    <t xml:space="preserve">     319</t>
  </si>
  <si>
    <t xml:space="preserve">     391</t>
  </si>
  <si>
    <t xml:space="preserve">     392</t>
  </si>
  <si>
    <t>05</t>
  </si>
  <si>
    <t>TOTAL EXPENSES PER G/L</t>
  </si>
  <si>
    <t>Workers Compensation</t>
  </si>
  <si>
    <t>Professional/General Liability Insurance</t>
  </si>
  <si>
    <t>050</t>
  </si>
  <si>
    <t>Purchased Nursing Services</t>
  </si>
  <si>
    <t>Evaluation</t>
  </si>
  <si>
    <t>Instructor</t>
  </si>
  <si>
    <t>Testing</t>
  </si>
  <si>
    <t>Material</t>
  </si>
  <si>
    <t>Miscellaneous</t>
  </si>
  <si>
    <t>REVENUE (INCL TPL) (SCH B)</t>
  </si>
  <si>
    <t>EXPENSES (SCH C)</t>
  </si>
  <si>
    <t>COST CAT &amp; ACCT</t>
  </si>
  <si>
    <t>CENSUS (SCH D)</t>
  </si>
  <si>
    <t>OCCUPANCY (SCH D)</t>
  </si>
  <si>
    <t>REV CAT</t>
  </si>
  <si>
    <t>010-090</t>
  </si>
  <si>
    <t>Director Fees</t>
  </si>
  <si>
    <t>051</t>
  </si>
  <si>
    <t>Home Office Charges (attach schedule)</t>
  </si>
  <si>
    <t>Utilization Review</t>
  </si>
  <si>
    <t>Civil Money Penalties (Medicare and Medicaid)</t>
  </si>
  <si>
    <t>Other Taxes (attach schedule)</t>
  </si>
  <si>
    <t>Transportation Salaries and Wages</t>
  </si>
  <si>
    <t>Transportation Payroll Taxes &amp; Emp Benefits</t>
  </si>
  <si>
    <t>Gifts</t>
  </si>
  <si>
    <t>Bank/Service Charges</t>
  </si>
  <si>
    <t>Public Relations</t>
  </si>
  <si>
    <t>Recruiting Expense</t>
  </si>
  <si>
    <t>TV/Cable/Satellite Expense</t>
  </si>
  <si>
    <t>Beauty &amp; Barber Expense</t>
  </si>
  <si>
    <t>Gain/loss on asset disposition</t>
  </si>
  <si>
    <t>Other</t>
  </si>
  <si>
    <t>Day Treatment Outside Service</t>
  </si>
  <si>
    <t>FCP less G/L must = 0</t>
  </si>
  <si>
    <t>PROFIT/LOSS TO REVENUE</t>
  </si>
  <si>
    <t>TOTAL LICENSED BEDS</t>
  </si>
  <si>
    <t>PROFIT/LOSS TO EXPENSES</t>
  </si>
  <si>
    <t>Name of ICF-MR Facility</t>
  </si>
  <si>
    <t>PERIOD BEGINNING --------------&gt;</t>
  </si>
  <si>
    <t>PERIOD ENDING  ------------------&gt;</t>
  </si>
  <si>
    <t>AUDIT</t>
  </si>
  <si>
    <t>Hours Worked</t>
  </si>
  <si>
    <t>ADJ'S</t>
  </si>
  <si>
    <t>REVENUE (INCL TPL)  (SCH B)</t>
  </si>
  <si>
    <t>NET MEDICAID REVENUE - UTAH</t>
  </si>
  <si>
    <t>NET MEDICAID - NON UTAH</t>
  </si>
  <si>
    <t>NET PRIVATE  REVENUE</t>
  </si>
  <si>
    <t>NET RESPITE/OTHER  REVENUE</t>
  </si>
  <si>
    <t>NET MISC INCOME</t>
  </si>
  <si>
    <t>n/a</t>
  </si>
  <si>
    <t>010-000</t>
  </si>
  <si>
    <t>010</t>
  </si>
  <si>
    <t>011</t>
  </si>
  <si>
    <t>Asst Administrator Salary</t>
  </si>
  <si>
    <t>012</t>
  </si>
  <si>
    <t>040</t>
  </si>
  <si>
    <t>060</t>
  </si>
  <si>
    <t>070</t>
  </si>
  <si>
    <t>080</t>
  </si>
  <si>
    <t>090</t>
  </si>
  <si>
    <t>100</t>
  </si>
  <si>
    <t>Dues, Subscriptions &amp; Licenses</t>
  </si>
  <si>
    <t>110</t>
  </si>
  <si>
    <t>Office Supplies, Printing &amp; Postage</t>
  </si>
  <si>
    <t>120</t>
  </si>
  <si>
    <t>Travel , Seminars, &amp; Admin Training</t>
  </si>
  <si>
    <t>Interest-Operating Loans</t>
  </si>
  <si>
    <t>Worker's compensation</t>
  </si>
  <si>
    <t>Other Penalties/Fines</t>
  </si>
  <si>
    <t>Transportation Salaries &amp; Wages</t>
  </si>
  <si>
    <t>TOTAL GENERAL ADMINISTRATIVE</t>
  </si>
  <si>
    <t>020-000</t>
  </si>
  <si>
    <t>TOTAL PROPERTY &amp; RELATED</t>
  </si>
  <si>
    <t>030-000</t>
  </si>
  <si>
    <t>Repair &amp; Mnt.- Trans Equipment</t>
  </si>
  <si>
    <t>040-000</t>
  </si>
  <si>
    <t>050-000</t>
  </si>
  <si>
    <t>060-000</t>
  </si>
  <si>
    <t>Payroll Taxes &amp; Benefits</t>
  </si>
  <si>
    <t>070-000</t>
  </si>
  <si>
    <t>Nurse Admin Sal-Med Rec, In Ser</t>
  </si>
  <si>
    <t>013</t>
  </si>
  <si>
    <t>Nurse Admin Payroll Tax and Benefits</t>
  </si>
  <si>
    <t>Nurse Dir Care Salaries &amp; Wages</t>
  </si>
  <si>
    <t>041</t>
  </si>
  <si>
    <t>Nurse Dir Care Payroll Tax &amp; Benefits</t>
  </si>
  <si>
    <t>Oxygen Equipment and Rental</t>
  </si>
  <si>
    <t>Nurse Aide Training Costs</t>
  </si>
  <si>
    <t>Evaluation Costs</t>
  </si>
  <si>
    <t>Instructor Costs</t>
  </si>
  <si>
    <t>Testing Costs</t>
  </si>
  <si>
    <t>Material Costs</t>
  </si>
  <si>
    <t>Misc. Costs</t>
  </si>
  <si>
    <t>080-000</t>
  </si>
  <si>
    <t>310</t>
  </si>
  <si>
    <t>490</t>
  </si>
  <si>
    <t>TOTAL REC ACT &amp; SOCIAL SERVICES</t>
  </si>
  <si>
    <t>090-000</t>
  </si>
  <si>
    <t>Programming</t>
  </si>
  <si>
    <t>TOTAL REPORTED EXPENSES PER FCP</t>
  </si>
  <si>
    <t>PROFIT / (LOSS) (REV - EXP)</t>
  </si>
  <si>
    <t>MEDICAID DAYS - UTAH</t>
  </si>
  <si>
    <t>MEDICAID DAYS - NON UTAH</t>
  </si>
  <si>
    <t xml:space="preserve">TOTAL LICENSED BEDS </t>
  </si>
  <si>
    <t>AUDITED REVENUE AS</t>
  </si>
  <si>
    <t xml:space="preserve"> % OF TOTAL REVENUE</t>
  </si>
  <si>
    <t>INDUSTRY AMOUNT</t>
  </si>
  <si>
    <t>AUDITED EXPENSE AS</t>
  </si>
  <si>
    <t>Industry Gain / (Loss) Per Day</t>
  </si>
  <si>
    <t>MEDICAID: UTAH DAYS</t>
  </si>
  <si>
    <t>MEDICAID: NON-UTAH DAYS</t>
  </si>
  <si>
    <t>Recreational Supplies</t>
  </si>
  <si>
    <t>Total Hours Worked</t>
  </si>
  <si>
    <t>Total Hours Paid</t>
  </si>
  <si>
    <t>Building Rent</t>
  </si>
  <si>
    <t>Building Depreciation</t>
  </si>
  <si>
    <t>Building Interest Expense</t>
  </si>
  <si>
    <t>"Real Property" Property Tax</t>
  </si>
  <si>
    <t>"Real Property" Property Insurance</t>
  </si>
  <si>
    <t>Vehicle Depreciation</t>
  </si>
  <si>
    <t>Vehicle Interest Expense</t>
  </si>
  <si>
    <t>Vehicle Insurance</t>
  </si>
  <si>
    <t>Vehicle Property Tax</t>
  </si>
  <si>
    <t>Equipment Leases (Operating Leases Only)</t>
  </si>
  <si>
    <t>Equipment Depreciation</t>
  </si>
  <si>
    <t>Equipment Interest Expense</t>
  </si>
  <si>
    <t>Payroll Taxes &amp; Emp Benefit</t>
  </si>
  <si>
    <t>Furniture &amp; Equipment less than Capitalization $ Threshold</t>
  </si>
  <si>
    <t>Nursing Direct Care Payroll Tax &amp; Benefits</t>
  </si>
  <si>
    <t>100-000</t>
  </si>
  <si>
    <t>ANCILLARIES NOT IN MEDICAID DAILY RATE</t>
  </si>
  <si>
    <t>Physician &amp; Psychiatrist - Staff Salaries</t>
  </si>
  <si>
    <t>020</t>
  </si>
  <si>
    <t>030</t>
  </si>
  <si>
    <t>Physician &amp; Psychiatrist-Supplies/Other</t>
  </si>
  <si>
    <t>Purchased Physician &amp; Psychiatrist (non-emp)</t>
  </si>
  <si>
    <t>140</t>
  </si>
  <si>
    <t>Laboratory &amp; Radiology Service</t>
  </si>
  <si>
    <t>350</t>
  </si>
  <si>
    <t>Other Direct Care (i.e. psychologists, podiatrists, and optometrists)</t>
  </si>
  <si>
    <t>360</t>
  </si>
  <si>
    <t>Dental Care (excludes annual exam)</t>
  </si>
  <si>
    <t>370</t>
  </si>
  <si>
    <t>Emergency Ambulance</t>
  </si>
  <si>
    <t>380</t>
  </si>
  <si>
    <t>Eye Glassess, Dentures, Hearing Aids</t>
  </si>
  <si>
    <t>390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</si>
  <si>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</si>
  <si>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</si>
  <si>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</si>
  <si>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</si>
  <si>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</si>
  <si>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</si>
  <si>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</si>
  <si>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Miscellaneous (Attach Detail Schedule if greater than $100)</t>
  </si>
  <si>
    <t>TOTAL ANCILLARIES NOT IN MEDICAID RATE</t>
  </si>
  <si>
    <t>TOTAL RECREATIONAL ACTIVITIES &amp; SPECIAL SERVICES</t>
  </si>
  <si>
    <t>TOTAL PLANT OPERATION &amp; MAINTENANCE</t>
  </si>
  <si>
    <t>Q1</t>
  </si>
  <si>
    <t>Q2</t>
  </si>
  <si>
    <t>Q3</t>
  </si>
  <si>
    <t>Q4</t>
  </si>
  <si>
    <t>Hours Paid</t>
  </si>
  <si>
    <t>MEDICAID CERTIFIED BEDS</t>
  </si>
  <si>
    <t>Dental Care - Annual Exam</t>
  </si>
  <si>
    <t>Physician &amp; Psychiatrist Payroll Tax and Benefit</t>
  </si>
  <si>
    <t>% OF TOTAL EXPENSE</t>
  </si>
  <si>
    <t>TOTAL REVENUE</t>
  </si>
  <si>
    <t>PROFIT / (LOSS)  (REV - EXP)</t>
  </si>
  <si>
    <t>"RealProperty" Property Tax*</t>
  </si>
  <si>
    <t>"Real Property" Property Insurance*</t>
  </si>
  <si>
    <t>Vechicle Insurance</t>
  </si>
  <si>
    <t>TOTAL PATIENT DAYS AVAILABLE (Total Licensed Beds x Calendar Days in Period)</t>
  </si>
  <si>
    <t>TOTAL OCCUPANCY (Total Patient Days ÷Total Patient Days Available)</t>
  </si>
  <si>
    <r>
      <t>MEDICAID OCCUPANCY (Medicaid Days-Utah 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Patient Days Available)</t>
    </r>
  </si>
  <si>
    <r>
      <t>MEDICAID OCCUPANCY AS A % OF TOTAL OCCUPANCY (Medicaid Occupancy ÷</t>
    </r>
    <r>
      <rPr>
        <sz val="7.5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Total Occupancy)</t>
    </r>
  </si>
  <si>
    <t>HOURS WORKED</t>
  </si>
  <si>
    <t>HOURS PAID</t>
  </si>
  <si>
    <t>440a</t>
  </si>
  <si>
    <t>440b</t>
  </si>
  <si>
    <t>440c</t>
  </si>
  <si>
    <t>440d</t>
  </si>
  <si>
    <r>
      <t xml:space="preserve">TOTAL PATIENT DAYS AVAILABLE </t>
    </r>
    <r>
      <rPr>
        <b/>
        <sz val="10"/>
        <color indexed="8"/>
        <rFont val="Times New Roman"/>
        <family val="1"/>
      </rPr>
      <t>(Total Licensed Beds*Calendar Days in Period)</t>
    </r>
  </si>
  <si>
    <r>
      <t xml:space="preserve">MEDICAID OCCUPANCY AS A % OF TOTAL OCCUPANCY </t>
    </r>
    <r>
      <rPr>
        <b/>
        <sz val="10"/>
        <color indexed="8"/>
        <rFont val="Times New Roman"/>
        <family val="1"/>
      </rPr>
      <t>(Medicaid Occupancy/Total Occupancy)</t>
    </r>
  </si>
  <si>
    <t>Active Treatment Supplies</t>
  </si>
  <si>
    <t>Personal Property Tax</t>
  </si>
  <si>
    <t>ICF-MR - SUMMARY</t>
  </si>
  <si>
    <t>% OF</t>
  </si>
  <si>
    <t>REVEVENUE  CATEGORY</t>
  </si>
  <si>
    <t>COST CATEGORY &amp; ACCOUNT</t>
  </si>
  <si>
    <t>272</t>
  </si>
  <si>
    <t>Wheelchair Depreciation</t>
  </si>
  <si>
    <t>274</t>
  </si>
  <si>
    <t>Adaptive Equipment Depreciation</t>
  </si>
  <si>
    <t>Physician &amp; Psychiatrist Payroll Tax &amp; Benefit</t>
  </si>
  <si>
    <t>OTHER DAYS</t>
  </si>
  <si>
    <r>
      <t xml:space="preserve">TOTAL OCCUPANCY </t>
    </r>
    <r>
      <rPr>
        <b/>
        <sz val="10"/>
        <color indexed="8"/>
        <rFont val="Times New Roman"/>
        <family val="1"/>
      </rPr>
      <t>(Total Patient Days/Total Patient Days Available Before Bed Banking)</t>
    </r>
  </si>
  <si>
    <r>
      <t xml:space="preserve">MEDICAID OCCUPANCY </t>
    </r>
    <r>
      <rPr>
        <b/>
        <sz val="10"/>
        <color indexed="8"/>
        <rFont val="Times New Roman"/>
        <family val="1"/>
      </rPr>
      <t>(Medicaid Days-Utah /Total Patient Days Available Before Bed Banking)</t>
    </r>
  </si>
  <si>
    <t>Private Revenue Per Day</t>
  </si>
  <si>
    <t>Rev</t>
  </si>
  <si>
    <t>Exp</t>
  </si>
  <si>
    <t>Days</t>
  </si>
  <si>
    <t>Beds</t>
  </si>
  <si>
    <t>Total Days</t>
  </si>
  <si>
    <t>440e</t>
  </si>
  <si>
    <t>PER DAY</t>
  </si>
  <si>
    <t>INDUSTRY</t>
  </si>
  <si>
    <t>VARIANCE %</t>
  </si>
  <si>
    <t>ASSIGNED WEIGHT</t>
  </si>
  <si>
    <t>AMOUNT</t>
  </si>
  <si>
    <t>COL 8/9</t>
  </si>
  <si>
    <t>IF COL 11 &gt;20%</t>
  </si>
  <si>
    <t xml:space="preserve"> PER DAY (COL 5 ÷ AUDITED DAYS)</t>
  </si>
  <si>
    <t>AUDITED DAYS AS % OF TOTAL DAYS</t>
  </si>
  <si>
    <t>MEDALLION MANOR, INC.</t>
  </si>
  <si>
    <t>MEDALLION SUPPORTED LIVING - LEHI</t>
  </si>
  <si>
    <t>MEDALLION SUPPORTED LIVING - PAYSON</t>
  </si>
  <si>
    <t>Mesa Vista Inc</t>
  </si>
  <si>
    <t>West Jordan Care Center</t>
  </si>
  <si>
    <t>TM Wide Horizons Residential Care Facility, LLC</t>
  </si>
  <si>
    <r>
      <rPr>
        <b/>
        <sz val="10"/>
        <rFont val="NewCenturySchlbk"/>
      </rPr>
      <t xml:space="preserve">(1)                        </t>
    </r>
    <r>
      <rPr>
        <sz val="10"/>
        <rFont val="NewCenturySchlbk"/>
        <family val="1"/>
      </rPr>
      <t>04</t>
    </r>
  </si>
  <si>
    <r>
      <rPr>
        <b/>
        <sz val="10"/>
        <rFont val="NewCenturySchlbk"/>
      </rPr>
      <t>(1)</t>
    </r>
    <r>
      <rPr>
        <sz val="10"/>
        <rFont val="NewCenturySchlbk"/>
        <family val="1"/>
      </rPr>
      <t xml:space="preserve">                                05</t>
    </r>
  </si>
  <si>
    <t>Hillcrest Care Center</t>
  </si>
  <si>
    <t>Medallion Suppported Living-Springville</t>
  </si>
  <si>
    <t>1)</t>
  </si>
  <si>
    <t>ADJUSTMENT NOTES</t>
  </si>
  <si>
    <t>TOPHAM TINY TOTS, INC</t>
  </si>
  <si>
    <t>DESK REVIEW ADU'S</t>
  </si>
  <si>
    <t>PER SCOTT HANNI</t>
  </si>
  <si>
    <t>1) ADJUST BLDG. RENT 020-230 to remove RP Cost and put in underlying costs.</t>
  </si>
  <si>
    <t>DM 3/11/15</t>
  </si>
  <si>
    <t>RELATED PARTY ADJ'S; see the 1)s.</t>
  </si>
  <si>
    <t>DESK REVIEW ADJ'S</t>
  </si>
  <si>
    <t>RELATED PARTY COSTS</t>
  </si>
  <si>
    <t>remove RP rent</t>
  </si>
  <si>
    <t>add RP depr</t>
  </si>
  <si>
    <t>add RP Int Exp</t>
  </si>
  <si>
    <t>RELATED PARTY RENT</t>
  </si>
  <si>
    <t>add tax prep cost, Moyes Properties</t>
  </si>
  <si>
    <t>FY16 ICF-MR INDUSTRY SUMMARY</t>
  </si>
  <si>
    <t>revised for 2016</t>
  </si>
  <si>
    <t>Schedules revised 7/10/16</t>
  </si>
  <si>
    <t>Bungalow Care Center, RHA Comm Svcs (old) &amp; RHA Hlth Svcs (New)</t>
  </si>
  <si>
    <t>COL 4 HAS DATA FROM</t>
  </si>
  <si>
    <t>RHA HLTH SVCS (NEW)</t>
  </si>
  <si>
    <t xml:space="preserve">COL 3 OF FCP FOR </t>
  </si>
  <si>
    <t>CELLS WITH THIS COLOR</t>
  </si>
  <si>
    <t>HAVE AUDIT ADJ'S</t>
  </si>
  <si>
    <t>FCP, COL 3, FOR RHA</t>
  </si>
  <si>
    <t>HLTH SVCS (NEW)</t>
  </si>
  <si>
    <t>Eastside Care Center RHA Comm Svcs (old) &amp; RHA Hlth Svcs (NEW)</t>
  </si>
  <si>
    <t>Hidden Hollow Care Center, RHA Comm Svcs (old) &amp; RHA Hlth Svcs (NEW)</t>
  </si>
  <si>
    <t xml:space="preserve">COL 3, FCP FOR </t>
  </si>
  <si>
    <t>Lindon Care Center, RHA Comm Svcs (old) &amp; RHA Hlth Svcs (NEW)</t>
  </si>
  <si>
    <t>Northside Care Center RHA Comm Svcs (old) &amp; RHA Hlth Svcs (NEW)</t>
  </si>
  <si>
    <t>NORTHSIDE HLTH SVCS (NEW)</t>
  </si>
  <si>
    <t>Provo Care Center  RHA Comm Svcs (old) &amp; RHA Hlth Svcs (NEW)</t>
  </si>
  <si>
    <t xml:space="preserve">COL 3, FCP for </t>
  </si>
  <si>
    <t>Westside Care Center, RHA Comm Svcs (old) &amp; RHA Hlth Svcs (NEW)</t>
  </si>
  <si>
    <t>(1) Desk Rev Adj, move $6,548 to 030-230</t>
  </si>
  <si>
    <t>(1) desk rev Adj, moved Eq rental $6,548 from 010-490</t>
  </si>
  <si>
    <t>designated as DR#.</t>
  </si>
  <si>
    <t xml:space="preserve">Desk Review ADJ'S are </t>
  </si>
  <si>
    <t>DR#1 TO PUT IN THE NUMBER OF MEDICAID CERTIFIED BEDS.</t>
  </si>
  <si>
    <t>DR#2 remove R.P. rent to Jana Baraclough</t>
  </si>
  <si>
    <t>Was 16 as filed; corrected 1/19/17  DM</t>
  </si>
  <si>
    <t>SUPPORTED INDEPENDENCE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</si>
</sst>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(* &quot;-&quot;??_);_(@_)"/>
    <numFmt numFmtId="166" formatCode="&quot;$&quot;#,##0"/>
    <numFmt numFmtId="167" formatCode="&quot;$&quot;#,##0.00"/>
    <numFmt numFmtId="168" formatCode="0.0%"/>
    <numFmt numFmtId="169" formatCode="0_);\(0\)"/>
    <numFmt numFmtId="170" formatCode="_([$€-2]* #,##0.00_);_([$€-2]* \(#,##0.00\);_([$€-2]* &quot;-&quot;??_)"/>
  </numFmts>
  <fonts count="32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NewCenturySchlbk"/>
      <family val="1"/>
    </font>
    <font>
      <sz val="10"/>
      <name val="NewCenturySchlbk"/>
      <family val="1"/>
    </font>
    <font>
      <sz val="10"/>
      <name val="Arial"/>
      <family val="2"/>
    </font>
    <font>
      <sz val="8"/>
      <name val="Arial"/>
      <family val="2"/>
    </font>
    <font>
      <sz val="10"/>
      <name val="NewCenturySchlbk"/>
      <family val="1"/>
    </font>
    <font>
      <b/>
      <sz val="10"/>
      <name val="NewCenturySchlbk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name val="Times New Roman"/>
      <family val="1"/>
    </font>
    <font>
      <b/>
      <sz val="18"/>
      <name val="NewCenturySchlbk"/>
      <family val="1"/>
    </font>
    <font>
      <b/>
      <sz val="10"/>
      <name val="Arial"/>
      <family val="2"/>
    </font>
    <font>
      <sz val="10"/>
      <name val="Helv"/>
    </font>
    <font>
      <sz val="10"/>
      <color indexed="8"/>
      <name val="Helv"/>
    </font>
    <font>
      <u/>
      <sz val="10"/>
      <name val="NewCenturySchlbk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NewCenturySchlbk"/>
    </font>
    <font>
      <sz val="10"/>
      <name val="NewCenturySchlbk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CFC9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EFD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0"/>
  </cellStyleXfs>
  <cellXfs count="3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1" applyNumberFormat="1" applyFont="1" applyBorder="1"/>
    <xf numFmtId="0" fontId="5" fillId="0" borderId="0" xfId="0" applyFont="1" applyAlignment="1">
      <alignment horizontal="left"/>
    </xf>
    <xf numFmtId="6" fontId="3" fillId="0" borderId="0" xfId="0" applyNumberFormat="1" applyFont="1" applyBorder="1"/>
    <xf numFmtId="0" fontId="3" fillId="0" borderId="0" xfId="0" applyFont="1" applyBorder="1"/>
    <xf numFmtId="6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0" fontId="3" fillId="0" borderId="0" xfId="0" applyNumberFormat="1" applyFont="1"/>
    <xf numFmtId="7" fontId="3" fillId="0" borderId="0" xfId="0" applyNumberFormat="1" applyFont="1"/>
    <xf numFmtId="7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6" fontId="3" fillId="2" borderId="0" xfId="0" applyNumberFormat="1" applyFont="1" applyFill="1" applyBorder="1"/>
    <xf numFmtId="10" fontId="3" fillId="2" borderId="0" xfId="0" applyNumberFormat="1" applyFont="1" applyFill="1" applyBorder="1"/>
    <xf numFmtId="7" fontId="3" fillId="2" borderId="0" xfId="0" applyNumberFormat="1" applyFont="1" applyFill="1" applyBorder="1"/>
    <xf numFmtId="6" fontId="3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2" borderId="0" xfId="4" applyFont="1" applyFill="1" applyAlignment="1">
      <alignment horizontal="left" wrapText="1"/>
    </xf>
    <xf numFmtId="38" fontId="3" fillId="2" borderId="2" xfId="0" applyNumberFormat="1" applyFont="1" applyFill="1" applyBorder="1"/>
    <xf numFmtId="14" fontId="9" fillId="0" borderId="0" xfId="0" applyNumberFormat="1" applyFont="1" applyAlignment="1" applyProtection="1">
      <alignment horizontal="right"/>
    </xf>
    <xf numFmtId="6" fontId="9" fillId="0" borderId="0" xfId="0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Continuous"/>
    </xf>
    <xf numFmtId="6" fontId="9" fillId="0" borderId="0" xfId="0" quotePrefix="1" applyNumberFormat="1" applyFont="1" applyAlignment="1" applyProtection="1">
      <alignment horizontal="center"/>
    </xf>
    <xf numFmtId="6" fontId="9" fillId="2" borderId="0" xfId="0" applyNumberFormat="1" applyFont="1" applyFill="1" applyProtection="1"/>
    <xf numFmtId="0" fontId="9" fillId="2" borderId="0" xfId="0" applyFont="1" applyFill="1"/>
    <xf numFmtId="6" fontId="9" fillId="3" borderId="1" xfId="0" applyNumberFormat="1" applyFont="1" applyFill="1" applyBorder="1"/>
    <xf numFmtId="14" fontId="9" fillId="0" borderId="0" xfId="0" applyNumberFormat="1" applyFont="1" applyAlignment="1" applyProtection="1">
      <alignment horizontal="right" wrapText="1"/>
    </xf>
    <xf numFmtId="10" fontId="9" fillId="2" borderId="0" xfId="0" applyNumberFormat="1" applyFont="1" applyFill="1"/>
    <xf numFmtId="6" fontId="9" fillId="2" borderId="3" xfId="0" applyNumberFormat="1" applyFont="1" applyFill="1" applyBorder="1" applyProtection="1"/>
    <xf numFmtId="0" fontId="5" fillId="2" borderId="0" xfId="0" applyFont="1" applyFill="1"/>
    <xf numFmtId="0" fontId="13" fillId="2" borderId="0" xfId="0" quotePrefix="1" applyFont="1" applyFill="1" applyAlignment="1">
      <alignment horizontal="right"/>
    </xf>
    <xf numFmtId="37" fontId="9" fillId="2" borderId="0" xfId="0" applyNumberFormat="1" applyFont="1" applyFill="1" applyProtection="1"/>
    <xf numFmtId="37" fontId="9" fillId="3" borderId="1" xfId="1" applyNumberFormat="1" applyFont="1" applyFill="1" applyBorder="1"/>
    <xf numFmtId="10" fontId="9" fillId="2" borderId="0" xfId="0" applyNumberFormat="1" applyFont="1" applyFill="1" applyBorder="1" applyProtection="1"/>
    <xf numFmtId="6" fontId="7" fillId="0" borderId="0" xfId="0" applyNumberFormat="1" applyFont="1" applyFill="1" applyBorder="1" applyAlignment="1">
      <alignment horizontal="center"/>
    </xf>
    <xf numFmtId="38" fontId="3" fillId="2" borderId="1" xfId="0" applyNumberFormat="1" applyFont="1" applyFill="1" applyBorder="1"/>
    <xf numFmtId="6" fontId="3" fillId="2" borderId="4" xfId="0" applyNumberFormat="1" applyFont="1" applyFill="1" applyBorder="1"/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49" fontId="5" fillId="0" borderId="0" xfId="0" applyNumberFormat="1" applyFont="1" applyAlignment="1" applyProtection="1">
      <alignment horizontal="right"/>
    </xf>
    <xf numFmtId="0" fontId="5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6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38" fontId="9" fillId="0" borderId="0" xfId="0" applyNumberFormat="1" applyFont="1" applyAlignment="1" applyProtection="1">
      <alignment horizontal="right"/>
    </xf>
    <xf numFmtId="6" fontId="3" fillId="3" borderId="1" xfId="0" applyNumberFormat="1" applyFont="1" applyFill="1" applyBorder="1"/>
    <xf numFmtId="6" fontId="3" fillId="2" borderId="1" xfId="0" applyNumberFormat="1" applyFont="1" applyFill="1" applyBorder="1" applyProtection="1">
      <protection locked="0"/>
    </xf>
    <xf numFmtId="0" fontId="3" fillId="2" borderId="0" xfId="0" applyFont="1" applyFill="1"/>
    <xf numFmtId="0" fontId="5" fillId="2" borderId="0" xfId="0" applyFont="1" applyFill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0" xfId="0" quotePrefix="1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/>
    <xf numFmtId="14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7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 horizontal="right"/>
    </xf>
    <xf numFmtId="14" fontId="5" fillId="0" borderId="0" xfId="0" applyNumberFormat="1" applyFont="1" applyAlignment="1">
      <alignment horizontal="center"/>
    </xf>
    <xf numFmtId="6" fontId="5" fillId="0" borderId="0" xfId="0" applyNumberFormat="1" applyFont="1" applyAlignment="1" applyProtection="1">
      <alignment horizontal="centerContinuous"/>
    </xf>
    <xf numFmtId="6" fontId="5" fillId="0" borderId="0" xfId="0" applyNumberFormat="1" applyFont="1" applyAlignment="1">
      <alignment horizontal="centerContinuous"/>
    </xf>
    <xf numFmtId="10" fontId="5" fillId="0" borderId="0" xfId="0" applyNumberFormat="1" applyFont="1"/>
    <xf numFmtId="7" fontId="5" fillId="0" borderId="0" xfId="0" applyNumberFormat="1" applyFont="1"/>
    <xf numFmtId="1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right"/>
    </xf>
    <xf numFmtId="0" fontId="5" fillId="2" borderId="0" xfId="0" applyFont="1" applyFill="1" applyBorder="1"/>
    <xf numFmtId="5" fontId="5" fillId="0" borderId="0" xfId="0" applyNumberFormat="1" applyFont="1" applyBorder="1" applyProtection="1"/>
    <xf numFmtId="5" fontId="5" fillId="0" borderId="0" xfId="0" applyNumberFormat="1" applyFont="1" applyFill="1" applyBorder="1" applyProtection="1"/>
    <xf numFmtId="5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37" fontId="5" fillId="0" borderId="0" xfId="0" applyNumberFormat="1" applyFont="1" applyFill="1" applyBorder="1" applyAlignment="1" applyProtection="1">
      <alignment horizontal="right"/>
    </xf>
    <xf numFmtId="5" fontId="5" fillId="3" borderId="7" xfId="0" applyNumberFormat="1" applyFont="1" applyFill="1" applyBorder="1" applyProtection="1"/>
    <xf numFmtId="0" fontId="5" fillId="2" borderId="0" xfId="0" quotePrefix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6" fontId="5" fillId="2" borderId="0" xfId="3" applyNumberFormat="1" applyFont="1" applyFill="1" applyBorder="1"/>
    <xf numFmtId="10" fontId="5" fillId="3" borderId="1" xfId="3" applyNumberFormat="1" applyFont="1" applyFill="1" applyBorder="1"/>
    <xf numFmtId="0" fontId="5" fillId="2" borderId="0" xfId="3" applyFont="1" applyFill="1"/>
    <xf numFmtId="0" fontId="7" fillId="0" borderId="0" xfId="0" applyFont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38" fontId="5" fillId="2" borderId="0" xfId="4" applyNumberFormat="1" applyFont="1" applyFill="1"/>
    <xf numFmtId="38" fontId="3" fillId="3" borderId="1" xfId="0" applyNumberFormat="1" applyFont="1" applyFill="1" applyBorder="1"/>
    <xf numFmtId="3" fontId="3" fillId="3" borderId="8" xfId="1" applyNumberFormat="1" applyFont="1" applyFill="1" applyBorder="1"/>
    <xf numFmtId="38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/>
    <xf numFmtId="7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 horizontal="right"/>
    </xf>
    <xf numFmtId="167" fontId="3" fillId="3" borderId="1" xfId="0" applyNumberFormat="1" applyFont="1" applyFill="1" applyBorder="1"/>
    <xf numFmtId="167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/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3" fontId="5" fillId="0" borderId="0" xfId="0" applyNumberFormat="1" applyFont="1"/>
    <xf numFmtId="3" fontId="5" fillId="0" borderId="0" xfId="0" quotePrefix="1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5" fillId="4" borderId="0" xfId="2" applyNumberFormat="1" applyFont="1" applyFill="1" applyBorder="1"/>
    <xf numFmtId="3" fontId="5" fillId="4" borderId="0" xfId="0" applyNumberFormat="1" applyFont="1" applyFill="1" applyBorder="1"/>
    <xf numFmtId="3" fontId="5" fillId="2" borderId="0" xfId="0" applyNumberFormat="1" applyFont="1" applyFill="1"/>
    <xf numFmtId="3" fontId="5" fillId="4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4" fillId="0" borderId="0" xfId="0" applyFont="1" applyAlignment="1">
      <alignment horizontal="left"/>
    </xf>
    <xf numFmtId="0" fontId="9" fillId="2" borderId="0" xfId="0" quotePrefix="1" applyFont="1" applyFill="1" applyAlignment="1" applyProtection="1">
      <alignment horizontal="right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7" fontId="5" fillId="0" borderId="0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 wrapText="1"/>
    </xf>
    <xf numFmtId="38" fontId="9" fillId="2" borderId="0" xfId="0" applyNumberFormat="1" applyFont="1" applyFill="1" applyAlignment="1" applyProtection="1">
      <alignment horizontal="right"/>
    </xf>
    <xf numFmtId="3" fontId="3" fillId="2" borderId="1" xfId="0" applyNumberFormat="1" applyFont="1" applyFill="1" applyBorder="1"/>
    <xf numFmtId="3" fontId="5" fillId="2" borderId="0" xfId="2" applyNumberFormat="1" applyFont="1" applyFill="1" applyBorder="1"/>
    <xf numFmtId="3" fontId="5" fillId="2" borderId="9" xfId="2" applyNumberFormat="1" applyFont="1" applyFill="1" applyBorder="1"/>
    <xf numFmtId="3" fontId="5" fillId="2" borderId="10" xfId="2" applyNumberFormat="1" applyFont="1" applyFill="1" applyBorder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3" fontId="5" fillId="4" borderId="0" xfId="0" applyNumberFormat="1" applyFont="1" applyFill="1" applyBorder="1" applyAlignment="1"/>
    <xf numFmtId="3" fontId="5" fillId="2" borderId="11" xfId="2" applyNumberFormat="1" applyFont="1" applyFill="1" applyBorder="1"/>
    <xf numFmtId="3" fontId="5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17" fillId="0" borderId="0" xfId="0" quotePrefix="1" applyFont="1" applyAlignment="1"/>
    <xf numFmtId="38" fontId="3" fillId="0" borderId="1" xfId="0" applyNumberFormat="1" applyFont="1" applyFill="1" applyBorder="1"/>
    <xf numFmtId="165" fontId="3" fillId="2" borderId="1" xfId="1" applyNumberFormat="1" applyFont="1" applyFill="1" applyBorder="1"/>
    <xf numFmtId="3" fontId="3" fillId="2" borderId="10" xfId="0" applyNumberFormat="1" applyFont="1" applyFill="1" applyBorder="1"/>
    <xf numFmtId="6" fontId="5" fillId="3" borderId="3" xfId="0" applyNumberFormat="1" applyFont="1" applyFill="1" applyBorder="1" applyProtection="1"/>
    <xf numFmtId="3" fontId="3" fillId="2" borderId="3" xfId="0" applyNumberFormat="1" applyFont="1" applyFill="1" applyBorder="1"/>
    <xf numFmtId="0" fontId="20" fillId="0" borderId="0" xfId="0" applyFont="1" applyAlignment="1">
      <alignment horizontal="left"/>
    </xf>
    <xf numFmtId="6" fontId="3" fillId="2" borderId="10" xfId="0" applyNumberFormat="1" applyFont="1" applyFill="1" applyBorder="1"/>
    <xf numFmtId="6" fontId="3" fillId="6" borderId="10" xfId="0" applyNumberFormat="1" applyFont="1" applyFill="1" applyBorder="1"/>
    <xf numFmtId="0" fontId="21" fillId="0" borderId="0" xfId="0" applyFont="1" applyProtection="1"/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14" fontId="9" fillId="0" borderId="6" xfId="0" applyNumberFormat="1" applyFont="1" applyBorder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166" fontId="9" fillId="0" borderId="0" xfId="0" applyNumberFormat="1" applyFont="1" applyProtection="1"/>
    <xf numFmtId="14" fontId="9" fillId="0" borderId="0" xfId="0" applyNumberFormat="1" applyFont="1" applyAlignment="1" applyProtection="1">
      <alignment horizontal="center"/>
    </xf>
    <xf numFmtId="14" fontId="9" fillId="0" borderId="0" xfId="0" quotePrefix="1" applyNumberFormat="1" applyFont="1" applyAlignment="1" applyProtection="1">
      <alignment horizontal="center"/>
    </xf>
    <xf numFmtId="14" fontId="9" fillId="0" borderId="5" xfId="0" applyNumberFormat="1" applyFont="1" applyBorder="1" applyAlignment="1" applyProtection="1">
      <alignment horizontal="center"/>
    </xf>
    <xf numFmtId="14" fontId="9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38" fontId="9" fillId="0" borderId="5" xfId="0" applyNumberFormat="1" applyFont="1" applyBorder="1" applyAlignment="1" applyProtection="1">
      <alignment horizontal="center"/>
    </xf>
    <xf numFmtId="14" fontId="9" fillId="0" borderId="13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8" fontId="9" fillId="0" borderId="6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6" fontId="9" fillId="5" borderId="1" xfId="0" applyNumberFormat="1" applyFont="1" applyFill="1" applyBorder="1" applyProtection="1"/>
    <xf numFmtId="6" fontId="9" fillId="5" borderId="14" xfId="0" applyNumberFormat="1" applyFont="1" applyFill="1" applyBorder="1" applyProtection="1"/>
    <xf numFmtId="10" fontId="9" fillId="5" borderId="14" xfId="0" applyNumberFormat="1" applyFont="1" applyFill="1" applyBorder="1" applyProtection="1"/>
    <xf numFmtId="6" fontId="9" fillId="5" borderId="6" xfId="0" applyNumberFormat="1" applyFont="1" applyFill="1" applyBorder="1" applyProtection="1"/>
    <xf numFmtId="6" fontId="9" fillId="5" borderId="13" xfId="0" applyNumberFormat="1" applyFont="1" applyFill="1" applyBorder="1" applyProtection="1"/>
    <xf numFmtId="10" fontId="9" fillId="5" borderId="13" xfId="0" applyNumberFormat="1" applyFont="1" applyFill="1" applyBorder="1" applyProtection="1"/>
    <xf numFmtId="0" fontId="2" fillId="2" borderId="0" xfId="0" applyFont="1" applyFill="1" applyAlignment="1" applyProtection="1">
      <alignment horizontal="left"/>
    </xf>
    <xf numFmtId="10" fontId="9" fillId="2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7" fontId="9" fillId="0" borderId="0" xfId="0" applyNumberFormat="1" applyFont="1" applyAlignment="1" applyProtection="1">
      <alignment horizontal="right"/>
    </xf>
    <xf numFmtId="38" fontId="9" fillId="5" borderId="6" xfId="0" applyNumberFormat="1" applyFont="1" applyFill="1" applyBorder="1" applyAlignment="1" applyProtection="1">
      <alignment horizontal="right"/>
    </xf>
    <xf numFmtId="10" fontId="1" fillId="2" borderId="0" xfId="0" applyNumberFormat="1" applyFont="1" applyFill="1" applyAlignment="1" applyProtection="1">
      <alignment horizontal="center"/>
    </xf>
    <xf numFmtId="0" fontId="23" fillId="0" borderId="0" xfId="0" quotePrefix="1" applyFont="1" applyAlignment="1" applyProtection="1">
      <alignment horizontal="right"/>
    </xf>
    <xf numFmtId="0" fontId="24" fillId="0" borderId="0" xfId="0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quotePrefix="1" applyFont="1" applyBorder="1" applyAlignment="1" applyProtection="1">
      <alignment horizontal="left"/>
    </xf>
    <xf numFmtId="49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10" fontId="9" fillId="2" borderId="0" xfId="2" applyNumberFormat="1" applyFont="1" applyFill="1" applyProtection="1"/>
    <xf numFmtId="0" fontId="24" fillId="0" borderId="0" xfId="0" quotePrefix="1" applyFont="1" applyAlignment="1" applyProtection="1">
      <alignment horizontal="left"/>
    </xf>
    <xf numFmtId="3" fontId="9" fillId="2" borderId="0" xfId="0" applyNumberFormat="1" applyFont="1" applyFill="1" applyAlignment="1" applyProtection="1">
      <alignment horizontal="right"/>
    </xf>
    <xf numFmtId="0" fontId="25" fillId="2" borderId="0" xfId="0" applyFont="1" applyFill="1" applyAlignment="1" applyProtection="1">
      <alignment horizontal="left"/>
    </xf>
    <xf numFmtId="10" fontId="9" fillId="2" borderId="3" xfId="2" applyNumberFormat="1" applyFont="1" applyFill="1" applyBorder="1" applyProtection="1"/>
    <xf numFmtId="6" fontId="9" fillId="2" borderId="0" xfId="0" applyNumberFormat="1" applyFont="1" applyFill="1" applyBorder="1" applyProtection="1"/>
    <xf numFmtId="10" fontId="9" fillId="5" borderId="1" xfId="0" applyNumberFormat="1" applyFont="1" applyFill="1" applyBorder="1" applyProtection="1"/>
    <xf numFmtId="0" fontId="9" fillId="2" borderId="0" xfId="0" applyFont="1" applyFill="1" applyAlignment="1" applyProtection="1">
      <alignment horizontal="left" wrapText="1"/>
    </xf>
    <xf numFmtId="38" fontId="9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Alignment="1" applyProtection="1">
      <alignment horizontal="right"/>
    </xf>
    <xf numFmtId="0" fontId="10" fillId="2" borderId="0" xfId="0" applyFont="1" applyFill="1" applyAlignment="1" applyProtection="1">
      <alignment horizontal="center" wrapText="1"/>
    </xf>
    <xf numFmtId="5" fontId="10" fillId="0" borderId="0" xfId="0" applyNumberFormat="1" applyFont="1" applyBorder="1" applyProtection="1"/>
    <xf numFmtId="5" fontId="10" fillId="0" borderId="0" xfId="0" applyNumberFormat="1" applyFont="1" applyFill="1" applyBorder="1" applyProtection="1"/>
    <xf numFmtId="5" fontId="10" fillId="0" borderId="0" xfId="0" applyNumberFormat="1" applyFont="1" applyFill="1" applyBorder="1" applyAlignment="1" applyProtection="1">
      <alignment horizontal="right"/>
    </xf>
    <xf numFmtId="0" fontId="10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right"/>
    </xf>
    <xf numFmtId="5" fontId="10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10" fillId="0" borderId="0" xfId="0" applyFont="1" applyProtection="1"/>
    <xf numFmtId="5" fontId="10" fillId="5" borderId="7" xfId="0" applyNumberFormat="1" applyFont="1" applyFill="1" applyBorder="1" applyProtection="1"/>
    <xf numFmtId="5" fontId="10" fillId="0" borderId="0" xfId="0" applyNumberFormat="1" applyFont="1" applyProtection="1"/>
    <xf numFmtId="0" fontId="13" fillId="2" borderId="0" xfId="0" quotePrefix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37" fontId="9" fillId="5" borderId="1" xfId="1" applyNumberFormat="1" applyFont="1" applyFill="1" applyBorder="1" applyProtection="1"/>
    <xf numFmtId="37" fontId="9" fillId="5" borderId="14" xfId="0" applyNumberFormat="1" applyFont="1" applyFill="1" applyBorder="1" applyProtection="1"/>
    <xf numFmtId="37" fontId="9" fillId="5" borderId="6" xfId="1" applyNumberFormat="1" applyFont="1" applyFill="1" applyBorder="1" applyProtection="1"/>
    <xf numFmtId="37" fontId="9" fillId="5" borderId="13" xfId="0" applyNumberFormat="1" applyFont="1" applyFill="1" applyBorder="1" applyProtection="1"/>
    <xf numFmtId="0" fontId="1" fillId="2" borderId="0" xfId="0" applyFont="1" applyFill="1" applyProtection="1"/>
    <xf numFmtId="3" fontId="9" fillId="5" borderId="14" xfId="1" applyNumberFormat="1" applyFont="1" applyFill="1" applyBorder="1" applyProtection="1"/>
    <xf numFmtId="1" fontId="9" fillId="2" borderId="0" xfId="0" applyNumberFormat="1" applyFont="1" applyFill="1" applyProtection="1"/>
    <xf numFmtId="37" fontId="9" fillId="5" borderId="6" xfId="0" applyNumberFormat="1" applyFont="1" applyFill="1" applyBorder="1" applyProtection="1"/>
    <xf numFmtId="0" fontId="6" fillId="2" borderId="0" xfId="0" applyFont="1" applyFill="1" applyAlignment="1" applyProtection="1">
      <alignment horizontal="left" wrapText="1"/>
    </xf>
    <xf numFmtId="168" fontId="9" fillId="5" borderId="1" xfId="5" applyNumberFormat="1" applyFont="1" applyFill="1" applyBorder="1" applyAlignment="1" applyProtection="1">
      <alignment horizontal="right"/>
    </xf>
    <xf numFmtId="166" fontId="9" fillId="5" borderId="1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left"/>
    </xf>
    <xf numFmtId="44" fontId="9" fillId="2" borderId="0" xfId="2" applyFont="1" applyFill="1" applyProtection="1"/>
    <xf numFmtId="168" fontId="9" fillId="2" borderId="0" xfId="5" applyNumberFormat="1" applyFont="1" applyFill="1" applyProtection="1"/>
    <xf numFmtId="38" fontId="9" fillId="0" borderId="6" xfId="0" applyNumberFormat="1" applyFont="1" applyBorder="1" applyAlignment="1" applyProtection="1">
      <alignment horizontal="center"/>
    </xf>
    <xf numFmtId="38" fontId="9" fillId="0" borderId="0" xfId="0" applyNumberFormat="1" applyFont="1" applyAlignment="1" applyProtection="1">
      <alignment horizontal="center"/>
    </xf>
    <xf numFmtId="2" fontId="9" fillId="2" borderId="0" xfId="0" applyNumberFormat="1" applyFont="1" applyFill="1" applyProtection="1"/>
    <xf numFmtId="2" fontId="9" fillId="2" borderId="0" xfId="0" applyNumberFormat="1" applyFont="1" applyFill="1" applyAlignment="1" applyProtection="1">
      <alignment horizontal="right"/>
    </xf>
    <xf numFmtId="7" fontId="9" fillId="2" borderId="0" xfId="0" applyNumberFormat="1" applyFont="1" applyFill="1" applyProtection="1"/>
    <xf numFmtId="44" fontId="9" fillId="2" borderId="0" xfId="2" applyFont="1" applyFill="1" applyAlignment="1" applyProtection="1">
      <alignment horizontal="right"/>
    </xf>
    <xf numFmtId="6" fontId="3" fillId="3" borderId="9" xfId="0" applyNumberFormat="1" applyFont="1" applyFill="1" applyBorder="1"/>
    <xf numFmtId="38" fontId="9" fillId="2" borderId="15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9" fillId="2" borderId="16" xfId="0" applyNumberFormat="1" applyFont="1" applyFill="1" applyBorder="1" applyAlignment="1" applyProtection="1">
      <alignment horizontal="right"/>
    </xf>
    <xf numFmtId="38" fontId="9" fillId="0" borderId="17" xfId="0" applyNumberFormat="1" applyFont="1" applyBorder="1" applyAlignment="1" applyProtection="1">
      <alignment horizontal="right"/>
    </xf>
    <xf numFmtId="38" fontId="9" fillId="0" borderId="1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3" fontId="3" fillId="6" borderId="0" xfId="1" applyNumberFormat="1" applyFont="1" applyFill="1" applyBorder="1"/>
    <xf numFmtId="3" fontId="5" fillId="7" borderId="0" xfId="2" applyNumberFormat="1" applyFont="1" applyFill="1" applyBorder="1"/>
    <xf numFmtId="10" fontId="3" fillId="6" borderId="0" xfId="0" applyNumberFormat="1" applyFont="1" applyFill="1" applyBorder="1"/>
    <xf numFmtId="6" fontId="3" fillId="6" borderId="4" xfId="0" applyNumberFormat="1" applyFont="1" applyFill="1" applyBorder="1"/>
    <xf numFmtId="0" fontId="27" fillId="0" borderId="0" xfId="0" applyFont="1" applyAlignment="1" applyProtection="1">
      <alignment horizontal="center"/>
    </xf>
    <xf numFmtId="6" fontId="9" fillId="5" borderId="18" xfId="0" applyNumberFormat="1" applyFont="1" applyFill="1" applyBorder="1" applyProtection="1"/>
    <xf numFmtId="6" fontId="9" fillId="5" borderId="19" xfId="0" applyNumberFormat="1" applyFont="1" applyFill="1" applyBorder="1" applyProtection="1"/>
    <xf numFmtId="37" fontId="9" fillId="5" borderId="18" xfId="1" applyNumberFormat="1" applyFont="1" applyFill="1" applyBorder="1" applyProtection="1"/>
    <xf numFmtId="38" fontId="9" fillId="5" borderId="18" xfId="0" applyNumberFormat="1" applyFont="1" applyFill="1" applyBorder="1" applyAlignment="1" applyProtection="1">
      <alignment horizontal="right"/>
    </xf>
    <xf numFmtId="37" fontId="10" fillId="5" borderId="18" xfId="0" applyNumberFormat="1" applyFon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/>
    </xf>
    <xf numFmtId="37" fontId="9" fillId="5" borderId="19" xfId="0" applyNumberFormat="1" applyFont="1" applyFill="1" applyBorder="1" applyProtection="1"/>
    <xf numFmtId="3" fontId="9" fillId="5" borderId="19" xfId="1" applyNumberFormat="1" applyFont="1" applyFill="1" applyBorder="1" applyProtection="1"/>
    <xf numFmtId="168" fontId="9" fillId="5" borderId="18" xfId="5" applyNumberFormat="1" applyFont="1" applyFill="1" applyBorder="1" applyAlignment="1" applyProtection="1">
      <alignment horizontal="right"/>
    </xf>
    <xf numFmtId="166" fontId="9" fillId="5" borderId="18" xfId="0" applyNumberFormat="1" applyFont="1" applyFill="1" applyBorder="1" applyProtection="1"/>
    <xf numFmtId="0" fontId="28" fillId="0" borderId="0" xfId="0" applyFont="1" applyAlignment="1" applyProtection="1">
      <alignment horizontal="left"/>
    </xf>
    <xf numFmtId="37" fontId="29" fillId="5" borderId="6" xfId="1" applyNumberFormat="1" applyFont="1" applyFill="1" applyBorder="1" applyProtection="1"/>
    <xf numFmtId="37" fontId="29" fillId="2" borderId="0" xfId="0" applyNumberFormat="1" applyFont="1" applyFill="1" applyProtection="1"/>
    <xf numFmtId="169" fontId="29" fillId="2" borderId="0" xfId="0" applyNumberFormat="1" applyFont="1" applyFill="1" applyAlignment="1" applyProtection="1">
      <alignment horizontal="right"/>
    </xf>
    <xf numFmtId="14" fontId="9" fillId="0" borderId="18" xfId="0" applyNumberFormat="1" applyFont="1" applyBorder="1" applyAlignment="1" applyProtection="1">
      <alignment horizontal="center"/>
    </xf>
    <xf numFmtId="6" fontId="9" fillId="8" borderId="18" xfId="0" applyNumberFormat="1" applyFont="1" applyFill="1" applyBorder="1" applyProtection="1"/>
    <xf numFmtId="38" fontId="9" fillId="8" borderId="18" xfId="0" applyNumberFormat="1" applyFont="1" applyFill="1" applyBorder="1" applyProtection="1"/>
    <xf numFmtId="10" fontId="9" fillId="8" borderId="18" xfId="0" applyNumberFormat="1" applyFont="1" applyFill="1" applyBorder="1" applyProtection="1"/>
    <xf numFmtId="6" fontId="9" fillId="3" borderId="18" xfId="0" applyNumberFormat="1" applyFont="1" applyFill="1" applyBorder="1" applyProtection="1"/>
    <xf numFmtId="38" fontId="29" fillId="5" borderId="1" xfId="1" applyNumberFormat="1" applyFont="1" applyFill="1" applyBorder="1" applyProtection="1"/>
    <xf numFmtId="38" fontId="29" fillId="5" borderId="6" xfId="1" applyNumberFormat="1" applyFont="1" applyFill="1" applyBorder="1" applyProtection="1"/>
    <xf numFmtId="0" fontId="29" fillId="2" borderId="0" xfId="0" applyFont="1" applyFill="1" applyProtection="1"/>
    <xf numFmtId="0" fontId="1" fillId="0" borderId="0" xfId="0" applyFont="1"/>
    <xf numFmtId="6" fontId="9" fillId="2" borderId="20" xfId="0" applyNumberFormat="1" applyFont="1" applyFill="1" applyBorder="1" applyProtection="1"/>
    <xf numFmtId="3" fontId="9" fillId="8" borderId="18" xfId="0" applyNumberFormat="1" applyFont="1" applyFill="1" applyBorder="1" applyProtection="1"/>
    <xf numFmtId="3" fontId="9" fillId="2" borderId="0" xfId="0" applyNumberFormat="1" applyFont="1" applyFill="1" applyProtection="1"/>
    <xf numFmtId="0" fontId="9" fillId="0" borderId="0" xfId="0" quotePrefix="1" applyFont="1" applyAlignment="1" applyProtection="1"/>
    <xf numFmtId="0" fontId="29" fillId="0" borderId="0" xfId="0" applyFont="1" applyProtection="1"/>
    <xf numFmtId="6" fontId="29" fillId="5" borderId="1" xfId="0" applyNumberFormat="1" applyFont="1" applyFill="1" applyBorder="1" applyProtection="1"/>
    <xf numFmtId="6" fontId="29" fillId="5" borderId="13" xfId="0" applyNumberFormat="1" applyFont="1" applyFill="1" applyBorder="1" applyProtection="1"/>
    <xf numFmtId="6" fontId="29" fillId="2" borderId="0" xfId="0" applyNumberFormat="1" applyFont="1" applyFill="1" applyProtection="1"/>
    <xf numFmtId="38" fontId="29" fillId="2" borderId="0" xfId="0" applyNumberFormat="1" applyFont="1" applyFill="1" applyAlignment="1" applyProtection="1">
      <alignment horizontal="left"/>
    </xf>
    <xf numFmtId="6" fontId="13" fillId="8" borderId="18" xfId="0" applyNumberFormat="1" applyFont="1" applyFill="1" applyBorder="1" applyProtection="1"/>
    <xf numFmtId="6" fontId="13" fillId="2" borderId="0" xfId="0" applyNumberFormat="1" applyFont="1" applyFill="1" applyProtection="1"/>
    <xf numFmtId="14" fontId="13" fillId="0" borderId="0" xfId="0" applyNumberFormat="1" applyFont="1" applyAlignment="1" applyProtection="1">
      <alignment horizontal="center"/>
    </xf>
    <xf numFmtId="6" fontId="13" fillId="0" borderId="0" xfId="0" applyNumberFormat="1" applyFont="1" applyAlignment="1" applyProtection="1">
      <alignment horizontal="centerContinuous"/>
    </xf>
    <xf numFmtId="0" fontId="13" fillId="0" borderId="0" xfId="0" applyFont="1" applyProtection="1"/>
    <xf numFmtId="6" fontId="13" fillId="2" borderId="3" xfId="0" applyNumberFormat="1" applyFont="1" applyFill="1" applyBorder="1" applyProtection="1"/>
    <xf numFmtId="6" fontId="13" fillId="2" borderId="0" xfId="0" applyNumberFormat="1" applyFont="1" applyFill="1" applyBorder="1" applyProtection="1"/>
    <xf numFmtId="5" fontId="22" fillId="0" borderId="0" xfId="0" applyNumberFormat="1" applyFont="1" applyBorder="1" applyProtection="1"/>
    <xf numFmtId="6" fontId="13" fillId="2" borderId="20" xfId="0" applyNumberFormat="1" applyFont="1" applyFill="1" applyBorder="1" applyProtection="1"/>
    <xf numFmtId="37" fontId="13" fillId="2" borderId="0" xfId="1" applyNumberFormat="1" applyFont="1" applyFill="1" applyBorder="1" applyProtection="1"/>
    <xf numFmtId="3" fontId="13" fillId="8" borderId="18" xfId="0" applyNumberFormat="1" applyFont="1" applyFill="1" applyBorder="1" applyProtection="1"/>
    <xf numFmtId="3" fontId="13" fillId="2" borderId="2" xfId="1" applyNumberFormat="1" applyFont="1" applyFill="1" applyBorder="1" applyProtection="1"/>
    <xf numFmtId="0" fontId="13" fillId="2" borderId="0" xfId="1" applyNumberFormat="1" applyFont="1" applyFill="1" applyProtection="1"/>
    <xf numFmtId="1" fontId="13" fillId="2" borderId="0" xfId="0" applyNumberFormat="1" applyFont="1" applyFill="1" applyProtection="1"/>
    <xf numFmtId="37" fontId="13" fillId="2" borderId="0" xfId="1" applyNumberFormat="1" applyFont="1" applyFill="1" applyProtection="1"/>
    <xf numFmtId="37" fontId="13" fillId="2" borderId="0" xfId="0" applyNumberFormat="1" applyFont="1" applyFill="1" applyProtection="1"/>
    <xf numFmtId="38" fontId="13" fillId="8" borderId="18" xfId="0" applyNumberFormat="1" applyFont="1" applyFill="1" applyBorder="1" applyProtection="1"/>
    <xf numFmtId="37" fontId="13" fillId="2" borderId="2" xfId="1" applyNumberFormat="1" applyFont="1" applyFill="1" applyBorder="1" applyProtection="1"/>
    <xf numFmtId="3" fontId="13" fillId="2" borderId="0" xfId="0" applyNumberFormat="1" applyFont="1" applyFill="1" applyProtection="1"/>
    <xf numFmtId="10" fontId="13" fillId="8" borderId="18" xfId="0" applyNumberFormat="1" applyFont="1" applyFill="1" applyBorder="1" applyProtection="1"/>
    <xf numFmtId="6" fontId="9" fillId="2" borderId="0" xfId="6" applyNumberFormat="1" applyFont="1" applyFill="1" applyProtection="1"/>
    <xf numFmtId="37" fontId="9" fillId="2" borderId="0" xfId="7" applyNumberFormat="1" applyFont="1" applyFill="1" applyBorder="1" applyProtection="1"/>
    <xf numFmtId="37" fontId="9" fillId="2" borderId="2" xfId="7" applyNumberFormat="1" applyFont="1" applyFill="1" applyBorder="1" applyProtection="1"/>
    <xf numFmtId="3" fontId="9" fillId="2" borderId="2" xfId="7" applyNumberFormat="1" applyFont="1" applyFill="1" applyBorder="1" applyProtection="1"/>
    <xf numFmtId="0" fontId="9" fillId="2" borderId="0" xfId="7" applyNumberFormat="1" applyFont="1" applyFill="1" applyProtection="1"/>
    <xf numFmtId="37" fontId="9" fillId="2" borderId="0" xfId="7" applyNumberFormat="1" applyFont="1" applyFill="1" applyProtection="1"/>
    <xf numFmtId="6" fontId="10" fillId="5" borderId="7" xfId="0" applyNumberFormat="1" applyFont="1" applyFill="1" applyBorder="1" applyProtection="1"/>
    <xf numFmtId="38" fontId="9" fillId="2" borderId="0" xfId="0" applyNumberFormat="1" applyFont="1" applyFill="1" applyAlignment="1" applyProtection="1"/>
    <xf numFmtId="0" fontId="27" fillId="0" borderId="0" xfId="0" applyFont="1" applyAlignment="1" applyProtection="1">
      <alignment horizontal="left"/>
    </xf>
    <xf numFmtId="6" fontId="29" fillId="9" borderId="0" xfId="0" applyNumberFormat="1" applyFont="1" applyFill="1" applyAlignment="1" applyProtection="1">
      <alignment horizontal="left"/>
    </xf>
    <xf numFmtId="6" fontId="29" fillId="9" borderId="0" xfId="0" applyNumberFormat="1" applyFont="1" applyFill="1" applyProtection="1"/>
    <xf numFmtId="6" fontId="29" fillId="9" borderId="0" xfId="0" applyNumberFormat="1" applyFont="1" applyFill="1" applyAlignment="1" applyProtection="1"/>
    <xf numFmtId="0" fontId="29" fillId="0" borderId="0" xfId="0" quotePrefix="1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6" fontId="9" fillId="9" borderId="0" xfId="0" applyNumberFormat="1" applyFont="1" applyFill="1" applyAlignment="1" applyProtection="1">
      <alignment horizontal="left"/>
    </xf>
    <xf numFmtId="6" fontId="9" fillId="9" borderId="0" xfId="0" applyNumberFormat="1" applyFont="1" applyFill="1" applyProtection="1"/>
    <xf numFmtId="14" fontId="30" fillId="0" borderId="18" xfId="0" applyNumberFormat="1" applyFont="1" applyBorder="1" applyAlignment="1" applyProtection="1">
      <alignment horizontal="center"/>
    </xf>
    <xf numFmtId="6" fontId="13" fillId="9" borderId="0" xfId="0" applyNumberFormat="1" applyFont="1" applyFill="1" applyAlignment="1" applyProtection="1">
      <alignment horizontal="center"/>
    </xf>
    <xf numFmtId="6" fontId="29" fillId="9" borderId="0" xfId="0" applyNumberFormat="1" applyFont="1" applyFill="1" applyAlignment="1" applyProtection="1">
      <alignment horizontal="center"/>
    </xf>
    <xf numFmtId="6" fontId="9" fillId="8" borderId="18" xfId="11" applyNumberFormat="1" applyFont="1" applyFill="1" applyBorder="1" applyProtection="1"/>
    <xf numFmtId="6" fontId="9" fillId="9" borderId="13" xfId="0" applyNumberFormat="1" applyFont="1" applyFill="1" applyBorder="1" applyProtection="1"/>
    <xf numFmtId="6" fontId="29" fillId="0" borderId="0" xfId="0" applyNumberFormat="1" applyFont="1" applyAlignment="1" applyProtection="1">
      <alignment horizontal="center"/>
    </xf>
    <xf numFmtId="6" fontId="9" fillId="9" borderId="1" xfId="0" applyNumberFormat="1" applyFont="1" applyFill="1" applyBorder="1" applyProtection="1"/>
    <xf numFmtId="6" fontId="9" fillId="9" borderId="14" xfId="0" applyNumberFormat="1" applyFont="1" applyFill="1" applyBorder="1" applyProtection="1"/>
    <xf numFmtId="6" fontId="9" fillId="10" borderId="13" xfId="0" applyNumberFormat="1" applyFont="1" applyFill="1" applyBorder="1" applyProtection="1"/>
    <xf numFmtId="6" fontId="9" fillId="10" borderId="14" xfId="0" applyNumberFormat="1" applyFont="1" applyFill="1" applyBorder="1" applyProtection="1"/>
    <xf numFmtId="6" fontId="30" fillId="8" borderId="18" xfId="0" applyNumberFormat="1" applyFont="1" applyFill="1" applyBorder="1" applyProtection="1"/>
    <xf numFmtId="168" fontId="9" fillId="11" borderId="1" xfId="5" applyNumberFormat="1" applyFont="1" applyFill="1" applyBorder="1" applyAlignment="1" applyProtection="1">
      <alignment horizontal="right"/>
    </xf>
    <xf numFmtId="3" fontId="9" fillId="11" borderId="1" xfId="5" applyNumberFormat="1" applyFont="1" applyFill="1" applyBorder="1" applyAlignment="1" applyProtection="1">
      <alignment horizontal="right"/>
    </xf>
    <xf numFmtId="3" fontId="9" fillId="11" borderId="18" xfId="5" applyNumberFormat="1" applyFont="1" applyFill="1" applyBorder="1" applyAlignment="1" applyProtection="1">
      <alignment horizontal="right"/>
    </xf>
    <xf numFmtId="37" fontId="30" fillId="5" borderId="6" xfId="1" applyNumberFormat="1" applyFont="1" applyFill="1" applyBorder="1" applyProtection="1"/>
  </cellXfs>
  <cellStyles count="12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Euro" xfId="9" xr:uid="{00000000-0005-0000-0000-000004000000}"/>
    <cellStyle name="Normal" xfId="0" builtinId="0"/>
    <cellStyle name="Normal 2" xfId="6" xr:uid="{00000000-0005-0000-0000-000006000000}"/>
    <cellStyle name="Normal 3" xfId="11" xr:uid="{00000000-0005-0000-0000-000007000000}"/>
    <cellStyle name="Normal_SUMMARY" xfId="3" xr:uid="{00000000-0005-0000-0000-000008000000}"/>
    <cellStyle name="Normal_SUMMARY_1" xfId="4" xr:uid="{00000000-0005-0000-0000-000009000000}"/>
    <cellStyle name="Percent" xfId="5" builtinId="5"/>
    <cellStyle name="Percent 2" xfId="10" xr:uid="{00000000-0005-0000-0000-00000B000000}"/>
  </cellStyles>
  <dxfs count="41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DD9"/>
      <color rgb="FFFDF7D9"/>
      <color rgb="FFFDF3D9"/>
      <color rgb="FFFFFFCC"/>
      <color rgb="FFCCECFF"/>
      <color rgb="FFFCF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Bungalow%20RHA%20old\ICF-ID%20FCP%20Forms-FY16%20-%202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Mesa%20Vista\MV%20Cost%20Report%20FY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Northside%20RHA%20old\ICF-ID%20FCP%20Forms-FY16%20-%2022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Supported%20Independence\ICF-ID%20FCP%20Forms-FY16%20(5)%20David%20Meadows%20stuff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Topham's%20Tiny%20Tots\ICF-ID%20FCP%20Forms-FY16%20-%20Topham'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West%20Jordan\West%20Jordan%20FCP%20June%2030%20210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Westside%20RHA%20old\ICF-ID%20FCP%20Forms-FY16%20-%2023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Wide%20Horizons\ICF-ID%20FCP%20Forms-FY16%20-%20Wide%20Horizons%20R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Eastside%20RHA%20old\ICF-ID%20FCP%20Forms-FY16%20-%202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Hidden%20Hollow%20RHA%20old\ICF-ID%20FCP%20Forms-FY16%20-%20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Hillcrest%20Care\ICF-ID%20FCP%20Forms%20Hillcrest%20Care%20Center-FY16-comple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Lindon%20RHA%20old\ICF-ID%20FCP%20Forms-FY16%20-%202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Medallion%20Manor\ICF-ID%20FCP%20Forms-FY16%20-%20Medallion%20Mano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Medallion%20-Lehi\ICF-ID%20FCP%20Forms-FY16%20-%20Leh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Medallion%20-Payson\ICF-ID%20FCP%20Forms-FY16%20-%20Pays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Unit\LONG%20TERM%20CARE%20FACILITIES\LTC%20FACILITIES%202016\2016%20FCP\ICF-ID%20FY16%20FCPs\Medallion%20-Springville\ICF-ID%20FCP%20Forms-FY16%20-%20Springv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505946</v>
          </cell>
          <cell r="G10">
            <v>0</v>
          </cell>
        </row>
        <row r="15">
          <cell r="E15">
            <v>21896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2114</v>
          </cell>
        </row>
      </sheetData>
      <sheetData sheetId="6"/>
      <sheetData sheetId="7">
        <row r="10">
          <cell r="D10">
            <v>11770</v>
          </cell>
          <cell r="F10"/>
        </row>
        <row r="11">
          <cell r="D11"/>
          <cell r="F11"/>
        </row>
        <row r="12">
          <cell r="D12">
            <v>6519</v>
          </cell>
          <cell r="F12"/>
        </row>
        <row r="13">
          <cell r="D13">
            <v>25995</v>
          </cell>
          <cell r="F13">
            <v>-24126</v>
          </cell>
        </row>
        <row r="14">
          <cell r="D14"/>
          <cell r="F14"/>
        </row>
        <row r="15">
          <cell r="D15">
            <v>31815</v>
          </cell>
          <cell r="F15"/>
        </row>
        <row r="16">
          <cell r="D16">
            <v>112128</v>
          </cell>
          <cell r="F16">
            <v>2314.9499999999998</v>
          </cell>
        </row>
        <row r="17">
          <cell r="D17"/>
          <cell r="F17"/>
        </row>
        <row r="18">
          <cell r="D18">
            <v>5321</v>
          </cell>
          <cell r="F18"/>
        </row>
        <row r="19">
          <cell r="D19">
            <v>852</v>
          </cell>
          <cell r="F19"/>
        </row>
        <row r="20">
          <cell r="D20">
            <v>2061</v>
          </cell>
          <cell r="F20">
            <v>-1847.55</v>
          </cell>
        </row>
        <row r="21">
          <cell r="D21"/>
          <cell r="F21"/>
        </row>
        <row r="22">
          <cell r="D22"/>
          <cell r="F22"/>
        </row>
        <row r="23">
          <cell r="D23">
            <v>3877</v>
          </cell>
          <cell r="F23"/>
        </row>
        <row r="24">
          <cell r="D24"/>
          <cell r="F24"/>
        </row>
        <row r="25">
          <cell r="D25">
            <v>921</v>
          </cell>
          <cell r="F25">
            <v>-240.79</v>
          </cell>
        </row>
        <row r="26">
          <cell r="D26">
            <v>25118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6464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227</v>
          </cell>
          <cell r="F39"/>
        </row>
        <row r="40">
          <cell r="D40"/>
          <cell r="F40"/>
        </row>
        <row r="41">
          <cell r="D41">
            <v>2332</v>
          </cell>
          <cell r="F41"/>
        </row>
        <row r="42">
          <cell r="D42"/>
          <cell r="F42"/>
        </row>
        <row r="43">
          <cell r="D43">
            <v>781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614</v>
          </cell>
          <cell r="F57"/>
        </row>
        <row r="58">
          <cell r="D58">
            <v>5848</v>
          </cell>
          <cell r="F58"/>
        </row>
        <row r="59">
          <cell r="D59">
            <v>16597</v>
          </cell>
          <cell r="F59">
            <v>-1420.55</v>
          </cell>
        </row>
        <row r="60">
          <cell r="D60"/>
          <cell r="F60"/>
        </row>
        <row r="61">
          <cell r="D61">
            <v>1240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597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1438</v>
          </cell>
          <cell r="F67"/>
        </row>
        <row r="68">
          <cell r="D68"/>
          <cell r="F68"/>
        </row>
        <row r="69">
          <cell r="D69">
            <v>946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4255</v>
          </cell>
          <cell r="F78"/>
        </row>
        <row r="79">
          <cell r="D79"/>
          <cell r="F79">
            <v>435</v>
          </cell>
        </row>
        <row r="80">
          <cell r="D80">
            <v>581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1594</v>
          </cell>
          <cell r="F83"/>
        </row>
        <row r="84">
          <cell r="D84">
            <v>49</v>
          </cell>
          <cell r="F84"/>
        </row>
        <row r="85">
          <cell r="D85">
            <v>13346</v>
          </cell>
          <cell r="F85"/>
        </row>
        <row r="86">
          <cell r="D86"/>
          <cell r="F86"/>
        </row>
        <row r="87">
          <cell r="D87">
            <v>5423</v>
          </cell>
          <cell r="F87"/>
        </row>
        <row r="88">
          <cell r="D88"/>
          <cell r="F88"/>
        </row>
        <row r="89">
          <cell r="D89">
            <v>4695</v>
          </cell>
          <cell r="F89"/>
        </row>
        <row r="93">
          <cell r="D93">
            <v>9731</v>
          </cell>
          <cell r="F93"/>
        </row>
        <row r="94">
          <cell r="D94"/>
          <cell r="F94">
            <v>995</v>
          </cell>
        </row>
        <row r="95">
          <cell r="D95">
            <v>1162</v>
          </cell>
          <cell r="F95"/>
        </row>
        <row r="96">
          <cell r="D96">
            <v>27076</v>
          </cell>
          <cell r="F96"/>
        </row>
        <row r="97">
          <cell r="D97">
            <v>1384</v>
          </cell>
          <cell r="F97"/>
        </row>
        <row r="98">
          <cell r="D98">
            <v>365</v>
          </cell>
          <cell r="F98"/>
        </row>
        <row r="102">
          <cell r="D102">
            <v>12432</v>
          </cell>
          <cell r="F102"/>
        </row>
        <row r="103">
          <cell r="D103"/>
          <cell r="F103">
            <v>1271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1603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3566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30375</v>
          </cell>
          <cell r="F129"/>
        </row>
        <row r="130">
          <cell r="D130"/>
          <cell r="F130">
            <v>3105</v>
          </cell>
        </row>
        <row r="131">
          <cell r="D131">
            <v>6234</v>
          </cell>
          <cell r="F131"/>
        </row>
        <row r="132">
          <cell r="D132"/>
          <cell r="F132">
            <v>637</v>
          </cell>
        </row>
        <row r="133">
          <cell r="D133"/>
          <cell r="F133"/>
        </row>
        <row r="134">
          <cell r="D134">
            <v>1512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3954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1380</v>
          </cell>
          <cell r="F154"/>
        </row>
        <row r="158">
          <cell r="D158">
            <v>173017</v>
          </cell>
          <cell r="F158"/>
        </row>
        <row r="159">
          <cell r="D159"/>
          <cell r="F159">
            <v>17684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675</v>
          </cell>
          <cell r="F162"/>
        </row>
        <row r="163">
          <cell r="D163">
            <v>600</v>
          </cell>
          <cell r="F163"/>
        </row>
        <row r="164">
          <cell r="D164"/>
          <cell r="F164"/>
        </row>
        <row r="165">
          <cell r="D165">
            <v>483</v>
          </cell>
          <cell r="F165"/>
        </row>
        <row r="166">
          <cell r="D166">
            <v>769</v>
          </cell>
          <cell r="F166"/>
        </row>
        <row r="167">
          <cell r="D167">
            <v>2264</v>
          </cell>
          <cell r="F167"/>
        </row>
        <row r="168">
          <cell r="D168">
            <v>78283</v>
          </cell>
          <cell r="F168"/>
        </row>
        <row r="169">
          <cell r="D169">
            <v>57</v>
          </cell>
          <cell r="F169"/>
        </row>
        <row r="170">
          <cell r="D170">
            <v>828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723</v>
          </cell>
          <cell r="F189"/>
        </row>
        <row r="190">
          <cell r="D190"/>
          <cell r="F190"/>
        </row>
        <row r="191">
          <cell r="D191">
            <v>4080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655957</v>
          </cell>
        </row>
      </sheetData>
      <sheetData sheetId="8"/>
      <sheetData sheetId="9"/>
      <sheetData sheetId="10">
        <row r="9">
          <cell r="C9">
            <v>2846</v>
          </cell>
          <cell r="D9">
            <v>123</v>
          </cell>
          <cell r="E9"/>
          <cell r="F9"/>
        </row>
        <row r="22">
          <cell r="G22">
            <v>26</v>
          </cell>
        </row>
        <row r="24">
          <cell r="G24">
            <v>26</v>
          </cell>
        </row>
        <row r="28">
          <cell r="G28">
            <v>3198</v>
          </cell>
        </row>
        <row r="30">
          <cell r="G30">
            <v>0.92839274546591621</v>
          </cell>
        </row>
        <row r="32">
          <cell r="G32">
            <v>0.92839274546591621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  <sheetName val="Sheet1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2850896.27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1619.66</v>
          </cell>
          <cell r="G40">
            <v>0</v>
          </cell>
        </row>
      </sheetData>
      <sheetData sheetId="6"/>
      <sheetData sheetId="7">
        <row r="10">
          <cell r="D10">
            <v>179192</v>
          </cell>
          <cell r="F10"/>
        </row>
        <row r="11">
          <cell r="D11">
            <v>0</v>
          </cell>
          <cell r="F11"/>
        </row>
        <row r="12">
          <cell r="D12">
            <v>40432</v>
          </cell>
          <cell r="F12"/>
        </row>
        <row r="13">
          <cell r="D13">
            <v>30129</v>
          </cell>
          <cell r="F13"/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0</v>
          </cell>
          <cell r="F16"/>
        </row>
        <row r="17">
          <cell r="D17">
            <v>1598</v>
          </cell>
          <cell r="F17"/>
        </row>
        <row r="18">
          <cell r="D18">
            <v>9453</v>
          </cell>
          <cell r="F18"/>
        </row>
        <row r="19">
          <cell r="D19">
            <v>9389</v>
          </cell>
          <cell r="F19"/>
        </row>
        <row r="20">
          <cell r="D20">
            <v>11376</v>
          </cell>
          <cell r="F20"/>
        </row>
        <row r="21">
          <cell r="D21">
            <v>21548</v>
          </cell>
          <cell r="F21"/>
        </row>
        <row r="22">
          <cell r="D22">
            <v>0</v>
          </cell>
          <cell r="F22"/>
        </row>
        <row r="23">
          <cell r="D23">
            <v>6067</v>
          </cell>
          <cell r="F23"/>
        </row>
        <row r="24">
          <cell r="D24">
            <v>0</v>
          </cell>
          <cell r="F24"/>
        </row>
        <row r="25">
          <cell r="D25">
            <v>27533</v>
          </cell>
          <cell r="F25"/>
        </row>
        <row r="26">
          <cell r="D26">
            <v>179858</v>
          </cell>
          <cell r="F26"/>
        </row>
        <row r="27">
          <cell r="D27">
            <v>439</v>
          </cell>
          <cell r="F27"/>
        </row>
        <row r="28">
          <cell r="D28">
            <v>101</v>
          </cell>
          <cell r="F28">
            <v>-101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25979</v>
          </cell>
          <cell r="F31"/>
        </row>
        <row r="32">
          <cell r="D32">
            <v>44777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205</v>
          </cell>
          <cell r="F38"/>
        </row>
        <row r="39">
          <cell r="D39">
            <v>1350</v>
          </cell>
          <cell r="F39"/>
        </row>
        <row r="40">
          <cell r="D40">
            <v>0</v>
          </cell>
          <cell r="F40"/>
        </row>
        <row r="41">
          <cell r="D41">
            <v>3975</v>
          </cell>
          <cell r="F41"/>
        </row>
        <row r="42">
          <cell r="D42">
            <v>0</v>
          </cell>
          <cell r="F42"/>
        </row>
        <row r="43">
          <cell r="D43">
            <v>1772</v>
          </cell>
          <cell r="F43"/>
        </row>
        <row r="44">
          <cell r="D44">
            <v>0</v>
          </cell>
          <cell r="F44"/>
        </row>
        <row r="45">
          <cell r="D45">
            <v>0</v>
          </cell>
          <cell r="F45"/>
        </row>
        <row r="57">
          <cell r="D57">
            <v>0</v>
          </cell>
          <cell r="F57"/>
        </row>
        <row r="58">
          <cell r="D58">
            <v>50268</v>
          </cell>
          <cell r="F58"/>
        </row>
        <row r="59">
          <cell r="D59">
            <v>26786</v>
          </cell>
          <cell r="F59"/>
        </row>
        <row r="60">
          <cell r="D60">
            <v>8740</v>
          </cell>
          <cell r="F60"/>
        </row>
        <row r="61">
          <cell r="D61"/>
          <cell r="F61"/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0</v>
          </cell>
          <cell r="F64"/>
        </row>
        <row r="65">
          <cell r="D65">
            <v>0</v>
          </cell>
          <cell r="F65"/>
        </row>
        <row r="66">
          <cell r="D66">
            <v>2182</v>
          </cell>
          <cell r="F66"/>
        </row>
        <row r="67">
          <cell r="D67">
            <v>19177</v>
          </cell>
          <cell r="F67"/>
        </row>
        <row r="68">
          <cell r="D68">
            <v>0</v>
          </cell>
          <cell r="F68"/>
        </row>
        <row r="69">
          <cell r="D69">
            <v>0</v>
          </cell>
          <cell r="F69"/>
        </row>
        <row r="70">
          <cell r="D70">
            <v>0</v>
          </cell>
          <cell r="F70"/>
        </row>
        <row r="71">
          <cell r="D71">
            <v>490</v>
          </cell>
          <cell r="F71"/>
        </row>
        <row r="72">
          <cell r="D72">
            <v>0</v>
          </cell>
          <cell r="F72"/>
        </row>
        <row r="73">
          <cell r="D73"/>
          <cell r="F73"/>
        </row>
        <row r="78">
          <cell r="D78">
            <v>44178</v>
          </cell>
          <cell r="F78"/>
        </row>
        <row r="79">
          <cell r="D79">
            <v>12113</v>
          </cell>
          <cell r="F79"/>
        </row>
        <row r="80">
          <cell r="D80">
            <v>0</v>
          </cell>
          <cell r="F80"/>
        </row>
        <row r="81">
          <cell r="D81">
            <v>0</v>
          </cell>
          <cell r="F81"/>
        </row>
        <row r="82">
          <cell r="D82">
            <v>6759</v>
          </cell>
          <cell r="F82"/>
        </row>
        <row r="83">
          <cell r="D83">
            <v>21334</v>
          </cell>
          <cell r="F83"/>
        </row>
        <row r="84">
          <cell r="D84">
            <v>55298</v>
          </cell>
          <cell r="F84"/>
        </row>
        <row r="85">
          <cell r="D85">
            <v>5418</v>
          </cell>
          <cell r="F85"/>
        </row>
        <row r="86">
          <cell r="D86">
            <v>35861</v>
          </cell>
          <cell r="F86"/>
        </row>
        <row r="87">
          <cell r="D87">
            <v>34833</v>
          </cell>
          <cell r="F87"/>
        </row>
        <row r="88">
          <cell r="D88">
            <v>0</v>
          </cell>
          <cell r="F88"/>
        </row>
        <row r="89">
          <cell r="D89"/>
          <cell r="F89"/>
        </row>
        <row r="93">
          <cell r="D93">
            <v>133276</v>
          </cell>
          <cell r="F93"/>
        </row>
        <row r="94">
          <cell r="D94">
            <v>25499</v>
          </cell>
          <cell r="F94"/>
        </row>
        <row r="95">
          <cell r="D95">
            <v>2641</v>
          </cell>
          <cell r="F95"/>
        </row>
        <row r="96">
          <cell r="D96">
            <v>127534</v>
          </cell>
          <cell r="F96"/>
        </row>
        <row r="97">
          <cell r="D97">
            <v>5490</v>
          </cell>
          <cell r="F97"/>
        </row>
        <row r="98">
          <cell r="D98">
            <v>0</v>
          </cell>
          <cell r="F98"/>
        </row>
        <row r="102">
          <cell r="D102">
            <v>23382</v>
          </cell>
          <cell r="F102"/>
        </row>
        <row r="103">
          <cell r="D103">
            <v>1944</v>
          </cell>
          <cell r="F103"/>
        </row>
        <row r="104">
          <cell r="D104">
            <v>3315</v>
          </cell>
          <cell r="F104"/>
        </row>
        <row r="105">
          <cell r="D105">
            <v>0</v>
          </cell>
          <cell r="F105"/>
        </row>
        <row r="106">
          <cell r="D106">
            <v>7377</v>
          </cell>
          <cell r="F106"/>
        </row>
        <row r="107">
          <cell r="D107">
            <v>-5</v>
          </cell>
          <cell r="F107"/>
        </row>
        <row r="121">
          <cell r="D121">
            <v>65197</v>
          </cell>
          <cell r="F121"/>
        </row>
        <row r="122">
          <cell r="D122">
            <v>10690</v>
          </cell>
          <cell r="F122"/>
        </row>
        <row r="123">
          <cell r="D123">
            <v>35426</v>
          </cell>
          <cell r="F123"/>
        </row>
        <row r="124">
          <cell r="D124">
            <v>0</v>
          </cell>
          <cell r="F124"/>
        </row>
        <row r="125">
          <cell r="D125"/>
          <cell r="F125"/>
        </row>
        <row r="129">
          <cell r="D129">
            <v>79296</v>
          </cell>
          <cell r="F129"/>
        </row>
        <row r="130">
          <cell r="D130">
            <v>18437</v>
          </cell>
          <cell r="F130"/>
        </row>
        <row r="131">
          <cell r="D131">
            <v>128257</v>
          </cell>
          <cell r="F131"/>
        </row>
        <row r="132">
          <cell r="D132">
            <v>20351</v>
          </cell>
          <cell r="F132"/>
        </row>
        <row r="133">
          <cell r="D133">
            <v>0</v>
          </cell>
          <cell r="F133"/>
        </row>
        <row r="134">
          <cell r="D134">
            <v>32916</v>
          </cell>
          <cell r="F134"/>
        </row>
        <row r="135">
          <cell r="D135">
            <v>414</v>
          </cell>
          <cell r="F135"/>
        </row>
        <row r="136">
          <cell r="D136">
            <v>0</v>
          </cell>
          <cell r="F136"/>
        </row>
        <row r="137">
          <cell r="D137">
            <v>9515</v>
          </cell>
          <cell r="F137"/>
        </row>
        <row r="138">
          <cell r="D138">
            <v>22000</v>
          </cell>
          <cell r="F138"/>
        </row>
        <row r="139">
          <cell r="D139">
            <v>0</v>
          </cell>
          <cell r="F139"/>
        </row>
        <row r="141">
          <cell r="D141">
            <v>0</v>
          </cell>
          <cell r="F141"/>
        </row>
        <row r="142">
          <cell r="D142">
            <v>0</v>
          </cell>
          <cell r="F142"/>
        </row>
        <row r="143">
          <cell r="D143">
            <v>0</v>
          </cell>
          <cell r="F143"/>
        </row>
        <row r="144">
          <cell r="D144">
            <v>0</v>
          </cell>
          <cell r="F144"/>
        </row>
        <row r="145">
          <cell r="D145">
            <v>0</v>
          </cell>
          <cell r="F145"/>
        </row>
        <row r="146">
          <cell r="D146">
            <v>0</v>
          </cell>
          <cell r="F146"/>
        </row>
        <row r="150">
          <cell r="D150">
            <v>60040</v>
          </cell>
          <cell r="F150"/>
        </row>
        <row r="151">
          <cell r="D151">
            <v>12911</v>
          </cell>
          <cell r="F151"/>
        </row>
        <row r="152">
          <cell r="D152">
            <v>25790</v>
          </cell>
          <cell r="F152"/>
        </row>
        <row r="153">
          <cell r="D153">
            <v>0</v>
          </cell>
          <cell r="F153"/>
        </row>
        <row r="154">
          <cell r="D154">
            <v>0</v>
          </cell>
          <cell r="F154"/>
        </row>
        <row r="158">
          <cell r="D158">
            <v>459690</v>
          </cell>
          <cell r="F158"/>
        </row>
        <row r="159">
          <cell r="D159">
            <v>61725</v>
          </cell>
          <cell r="F159"/>
        </row>
        <row r="160">
          <cell r="D160">
            <v>14528</v>
          </cell>
          <cell r="F160"/>
        </row>
        <row r="161">
          <cell r="D161">
            <v>803</v>
          </cell>
          <cell r="F161"/>
        </row>
        <row r="162">
          <cell r="D162">
            <v>8660</v>
          </cell>
          <cell r="F162"/>
        </row>
        <row r="163">
          <cell r="D163">
            <v>5600</v>
          </cell>
          <cell r="F163"/>
        </row>
        <row r="164">
          <cell r="D164">
            <v>0</v>
          </cell>
          <cell r="F164"/>
        </row>
        <row r="165">
          <cell r="D165">
            <v>2081</v>
          </cell>
          <cell r="F165"/>
        </row>
        <row r="166">
          <cell r="D166">
            <v>0</v>
          </cell>
          <cell r="F166"/>
        </row>
        <row r="167">
          <cell r="D167">
            <v>412044</v>
          </cell>
          <cell r="F167"/>
        </row>
        <row r="168">
          <cell r="D168">
            <v>0</v>
          </cell>
          <cell r="F168"/>
        </row>
        <row r="169">
          <cell r="D169"/>
          <cell r="F169"/>
        </row>
        <row r="170">
          <cell r="D170">
            <v>8818</v>
          </cell>
          <cell r="F170"/>
        </row>
        <row r="171">
          <cell r="D171">
            <v>-30</v>
          </cell>
          <cell r="F171"/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22800</v>
          </cell>
          <cell r="F189"/>
        </row>
        <row r="190">
          <cell r="D190">
            <v>0</v>
          </cell>
          <cell r="F190"/>
        </row>
        <row r="191">
          <cell r="D191">
            <v>8921</v>
          </cell>
          <cell r="F191"/>
        </row>
        <row r="192">
          <cell r="D192">
            <v>0</v>
          </cell>
          <cell r="F192"/>
        </row>
        <row r="193">
          <cell r="D193">
            <v>0</v>
          </cell>
          <cell r="F193"/>
        </row>
        <row r="194">
          <cell r="D194">
            <v>883.83</v>
          </cell>
          <cell r="F194"/>
        </row>
        <row r="195">
          <cell r="D195">
            <v>0</v>
          </cell>
          <cell r="F195"/>
        </row>
        <row r="196">
          <cell r="D196">
            <v>0</v>
          </cell>
          <cell r="F196"/>
        </row>
        <row r="197">
          <cell r="D197">
            <v>202.26</v>
          </cell>
          <cell r="F197"/>
        </row>
        <row r="198">
          <cell r="D198">
            <v>0</v>
          </cell>
          <cell r="F198"/>
        </row>
        <row r="199">
          <cell r="D199">
            <v>0</v>
          </cell>
          <cell r="F199"/>
        </row>
        <row r="204">
          <cell r="D204">
            <v>2777029</v>
          </cell>
        </row>
      </sheetData>
      <sheetData sheetId="8"/>
      <sheetData sheetId="9"/>
      <sheetData sheetId="10">
        <row r="9">
          <cell r="C9">
            <v>19664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54</v>
          </cell>
        </row>
        <row r="24">
          <cell r="G24">
            <v>54</v>
          </cell>
        </row>
        <row r="28">
          <cell r="G28">
            <v>19764</v>
          </cell>
        </row>
        <row r="30">
          <cell r="G30">
            <v>0.99494029548674356</v>
          </cell>
        </row>
        <row r="32">
          <cell r="G32">
            <v>0.99494029548674356</v>
          </cell>
        </row>
        <row r="34">
          <cell r="G34">
            <v>1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242970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933.27</v>
          </cell>
        </row>
      </sheetData>
      <sheetData sheetId="6"/>
      <sheetData sheetId="7">
        <row r="10">
          <cell r="D10">
            <v>8379</v>
          </cell>
          <cell r="F10"/>
        </row>
        <row r="11">
          <cell r="D11"/>
          <cell r="F11"/>
        </row>
        <row r="12">
          <cell r="D12">
            <v>4692</v>
          </cell>
          <cell r="F12"/>
        </row>
        <row r="13">
          <cell r="D13">
            <v>9713</v>
          </cell>
          <cell r="F13">
            <v>-8366</v>
          </cell>
        </row>
        <row r="14">
          <cell r="D14"/>
          <cell r="F14"/>
        </row>
        <row r="15">
          <cell r="D15">
            <v>14684</v>
          </cell>
          <cell r="F15"/>
        </row>
        <row r="16">
          <cell r="D16">
            <v>46292</v>
          </cell>
          <cell r="F16">
            <v>955.72</v>
          </cell>
        </row>
        <row r="17">
          <cell r="D17">
            <v>124</v>
          </cell>
          <cell r="F17"/>
        </row>
        <row r="18">
          <cell r="D18">
            <v>2158</v>
          </cell>
          <cell r="F18"/>
        </row>
        <row r="19">
          <cell r="D19">
            <v>1027</v>
          </cell>
          <cell r="F19"/>
        </row>
        <row r="20">
          <cell r="D20">
            <v>1702</v>
          </cell>
          <cell r="F20">
            <v>-853.45</v>
          </cell>
        </row>
        <row r="21">
          <cell r="D21"/>
          <cell r="F21"/>
        </row>
        <row r="22">
          <cell r="D22"/>
          <cell r="F22"/>
        </row>
        <row r="23">
          <cell r="D23">
            <v>3353</v>
          </cell>
          <cell r="F23"/>
        </row>
        <row r="24">
          <cell r="D24"/>
          <cell r="F24"/>
        </row>
        <row r="25">
          <cell r="D25">
            <v>380</v>
          </cell>
          <cell r="F25">
            <v>-73.95</v>
          </cell>
        </row>
        <row r="26">
          <cell r="D26">
            <v>11548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2395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45</v>
          </cell>
          <cell r="F39"/>
        </row>
        <row r="40">
          <cell r="D40"/>
          <cell r="F40"/>
        </row>
        <row r="41">
          <cell r="D41">
            <v>1628</v>
          </cell>
          <cell r="F41"/>
        </row>
        <row r="42">
          <cell r="D42"/>
          <cell r="F42"/>
        </row>
        <row r="43">
          <cell r="D43">
            <v>1071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833</v>
          </cell>
          <cell r="F57"/>
        </row>
        <row r="58">
          <cell r="D58">
            <v>2177</v>
          </cell>
          <cell r="F58"/>
        </row>
        <row r="59">
          <cell r="D59">
            <v>6018</v>
          </cell>
          <cell r="F59">
            <v>-519.13</v>
          </cell>
        </row>
        <row r="60">
          <cell r="D60"/>
          <cell r="F60"/>
        </row>
        <row r="61">
          <cell r="D61">
            <v>512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816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594</v>
          </cell>
          <cell r="F67"/>
        </row>
        <row r="68">
          <cell r="D68"/>
          <cell r="F68"/>
        </row>
        <row r="69">
          <cell r="D69">
            <v>317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/>
          <cell r="F78"/>
        </row>
        <row r="79">
          <cell r="D79"/>
          <cell r="F79"/>
        </row>
        <row r="80">
          <cell r="D80"/>
          <cell r="F80"/>
        </row>
        <row r="81">
          <cell r="D81">
            <v>166</v>
          </cell>
          <cell r="F81"/>
        </row>
        <row r="82">
          <cell r="D82"/>
          <cell r="F82"/>
        </row>
        <row r="83">
          <cell r="D83">
            <v>1824</v>
          </cell>
          <cell r="F83"/>
        </row>
        <row r="84">
          <cell r="D84">
            <v>195</v>
          </cell>
          <cell r="F84"/>
        </row>
        <row r="85">
          <cell r="D85">
            <v>2988</v>
          </cell>
          <cell r="F85"/>
        </row>
        <row r="86">
          <cell r="D86"/>
          <cell r="F86"/>
        </row>
        <row r="87">
          <cell r="D87">
            <v>2536</v>
          </cell>
          <cell r="F87"/>
        </row>
        <row r="88">
          <cell r="D88"/>
          <cell r="F88"/>
        </row>
        <row r="89">
          <cell r="D89">
            <v>3949</v>
          </cell>
          <cell r="F89"/>
        </row>
        <row r="93">
          <cell r="D93"/>
          <cell r="F93"/>
        </row>
        <row r="94">
          <cell r="D94"/>
          <cell r="F94"/>
        </row>
        <row r="95">
          <cell r="D95">
            <v>846</v>
          </cell>
          <cell r="F95"/>
        </row>
        <row r="96">
          <cell r="D96">
            <v>13719</v>
          </cell>
          <cell r="F96"/>
        </row>
        <row r="97">
          <cell r="D97">
            <v>797</v>
          </cell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404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2847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8586</v>
          </cell>
          <cell r="F129"/>
        </row>
        <row r="130">
          <cell r="D130"/>
          <cell r="F130">
            <v>885</v>
          </cell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1666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1370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780</v>
          </cell>
          <cell r="F154"/>
        </row>
        <row r="158">
          <cell r="D158">
            <v>72579</v>
          </cell>
          <cell r="F158"/>
        </row>
        <row r="159">
          <cell r="D159"/>
          <cell r="F159">
            <v>7481</v>
          </cell>
        </row>
        <row r="160">
          <cell r="D160"/>
          <cell r="F160"/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>
            <v>500</v>
          </cell>
          <cell r="F166"/>
        </row>
        <row r="167">
          <cell r="D167"/>
          <cell r="F167"/>
        </row>
        <row r="168">
          <cell r="D168">
            <v>40305</v>
          </cell>
          <cell r="F168"/>
        </row>
        <row r="169">
          <cell r="D169"/>
          <cell r="F169"/>
        </row>
        <row r="170">
          <cell r="D170">
            <v>593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>
            <v>1380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309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278797</v>
          </cell>
        </row>
      </sheetData>
      <sheetData sheetId="8"/>
      <sheetData sheetId="9"/>
      <sheetData sheetId="10">
        <row r="9">
          <cell r="C9">
            <v>1365</v>
          </cell>
          <cell r="D9"/>
          <cell r="E9"/>
          <cell r="F9"/>
        </row>
        <row r="22">
          <cell r="G22">
            <v>12</v>
          </cell>
        </row>
        <row r="24">
          <cell r="G24">
            <v>12</v>
          </cell>
        </row>
        <row r="28">
          <cell r="G28">
            <v>1476</v>
          </cell>
        </row>
        <row r="30">
          <cell r="G30">
            <v>0.92479674796747968</v>
          </cell>
        </row>
        <row r="32">
          <cell r="G32">
            <v>0.92479674796747968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heet1"/>
      <sheetName val="Sch C-1"/>
      <sheetName val="Sch C-2"/>
      <sheetName val="Sch D"/>
      <sheetName val="Summary"/>
    </sheetNames>
    <sheetDataSet>
      <sheetData sheetId="0"/>
      <sheetData sheetId="1"/>
      <sheetData sheetId="2">
        <row r="39">
          <cell r="C39">
            <v>42320</v>
          </cell>
          <cell r="G39">
            <v>42551</v>
          </cell>
        </row>
      </sheetData>
      <sheetData sheetId="3"/>
      <sheetData sheetId="4"/>
      <sheetData sheetId="5"/>
      <sheetData sheetId="6"/>
      <sheetData sheetId="7">
        <row r="204">
          <cell r="D204">
            <v>417426</v>
          </cell>
        </row>
      </sheetData>
      <sheetData sheetId="8"/>
      <sheetData sheetId="9"/>
      <sheetData sheetId="10"/>
      <sheetData sheetId="11">
        <row r="9">
          <cell r="C9">
            <v>1672</v>
          </cell>
          <cell r="D9">
            <v>0</v>
          </cell>
          <cell r="E9">
            <v>0</v>
          </cell>
          <cell r="F9">
            <v>0</v>
          </cell>
        </row>
        <row r="22">
          <cell r="G22">
            <v>8</v>
          </cell>
        </row>
        <row r="24">
          <cell r="G24">
            <v>8</v>
          </cell>
        </row>
        <row r="28">
          <cell r="G28">
            <v>1856</v>
          </cell>
        </row>
        <row r="30">
          <cell r="G30">
            <v>0.90086206896551724</v>
          </cell>
        </row>
        <row r="32">
          <cell r="G32">
            <v>0.90086206896551724</v>
          </cell>
        </row>
        <row r="34">
          <cell r="G34">
            <v>1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2922794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1282</v>
          </cell>
          <cell r="G40">
            <v>0</v>
          </cell>
        </row>
      </sheetData>
      <sheetData sheetId="6"/>
      <sheetData sheetId="7">
        <row r="10">
          <cell r="D10">
            <v>63836</v>
          </cell>
          <cell r="F10"/>
        </row>
        <row r="11">
          <cell r="D11">
            <v>116251</v>
          </cell>
          <cell r="F11"/>
        </row>
        <row r="12">
          <cell r="D12">
            <v>83503</v>
          </cell>
          <cell r="F12"/>
        </row>
        <row r="13">
          <cell r="D13">
            <v>210831</v>
          </cell>
          <cell r="F13">
            <v>-165507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/>
          <cell r="F17"/>
        </row>
        <row r="18">
          <cell r="D18">
            <v>20187</v>
          </cell>
          <cell r="F18"/>
        </row>
        <row r="19">
          <cell r="D19">
            <v>6781</v>
          </cell>
          <cell r="F19"/>
        </row>
        <row r="20">
          <cell r="D20">
            <v>14630</v>
          </cell>
          <cell r="F20"/>
        </row>
        <row r="21">
          <cell r="D21">
            <v>52503</v>
          </cell>
          <cell r="F21"/>
        </row>
        <row r="22">
          <cell r="D22">
            <v>742</v>
          </cell>
          <cell r="F22"/>
        </row>
        <row r="23">
          <cell r="D23">
            <v>10619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122954</v>
          </cell>
          <cell r="F26"/>
        </row>
        <row r="27">
          <cell r="D27">
            <v>5528</v>
          </cell>
          <cell r="F27">
            <v>-58</v>
          </cell>
        </row>
        <row r="28">
          <cell r="D28">
            <v>10070</v>
          </cell>
          <cell r="F28">
            <v>-10070</v>
          </cell>
        </row>
        <row r="29">
          <cell r="D29">
            <v>17389</v>
          </cell>
          <cell r="F29">
            <v>-17389</v>
          </cell>
        </row>
        <row r="30">
          <cell r="D30"/>
          <cell r="F30">
            <v>0</v>
          </cell>
        </row>
        <row r="31">
          <cell r="D31">
            <v>37346</v>
          </cell>
          <cell r="F31"/>
        </row>
        <row r="32">
          <cell r="D32">
            <v>40431</v>
          </cell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609</v>
          </cell>
          <cell r="F39"/>
        </row>
        <row r="40">
          <cell r="D40"/>
          <cell r="F40"/>
        </row>
        <row r="41">
          <cell r="D41">
            <v>22202</v>
          </cell>
          <cell r="F41"/>
        </row>
        <row r="42">
          <cell r="D42">
            <v>169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29260</v>
          </cell>
          <cell r="F45">
            <v>-1176</v>
          </cell>
        </row>
        <row r="57">
          <cell r="D57">
            <v>219471</v>
          </cell>
          <cell r="F57"/>
        </row>
        <row r="58">
          <cell r="D58">
            <v>19488</v>
          </cell>
          <cell r="F58"/>
        </row>
        <row r="59">
          <cell r="D59"/>
          <cell r="F59"/>
        </row>
        <row r="60">
          <cell r="D60"/>
          <cell r="F60"/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/>
          <cell r="F69"/>
        </row>
        <row r="70">
          <cell r="D70"/>
          <cell r="F70"/>
        </row>
        <row r="71">
          <cell r="D71">
            <v>355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74460</v>
          </cell>
          <cell r="F78"/>
        </row>
        <row r="79">
          <cell r="D79"/>
          <cell r="F79">
            <v>12803</v>
          </cell>
        </row>
        <row r="80">
          <cell r="D80">
            <v>372</v>
          </cell>
          <cell r="F80"/>
        </row>
        <row r="81">
          <cell r="D81"/>
          <cell r="F81"/>
        </row>
        <row r="82">
          <cell r="D82">
            <v>376</v>
          </cell>
          <cell r="F82"/>
        </row>
        <row r="83">
          <cell r="D83">
            <v>778</v>
          </cell>
          <cell r="F83"/>
        </row>
        <row r="84">
          <cell r="D84">
            <v>11783</v>
          </cell>
          <cell r="F84"/>
        </row>
        <row r="85">
          <cell r="D85">
            <v>13725</v>
          </cell>
          <cell r="F85"/>
        </row>
        <row r="86">
          <cell r="D86">
            <v>13360</v>
          </cell>
          <cell r="F86"/>
        </row>
        <row r="87">
          <cell r="D87">
            <v>44447</v>
          </cell>
          <cell r="F87"/>
        </row>
        <row r="88">
          <cell r="D88">
            <v>12118</v>
          </cell>
          <cell r="F88"/>
        </row>
        <row r="89">
          <cell r="D89"/>
          <cell r="F89"/>
        </row>
        <row r="93">
          <cell r="D93">
            <v>90142</v>
          </cell>
          <cell r="F93"/>
        </row>
        <row r="94">
          <cell r="D94"/>
          <cell r="F94">
            <v>15500</v>
          </cell>
        </row>
        <row r="95">
          <cell r="D95">
            <v>7906</v>
          </cell>
          <cell r="F95"/>
        </row>
        <row r="96">
          <cell r="D96">
            <v>83640</v>
          </cell>
          <cell r="F96">
            <v>-49</v>
          </cell>
        </row>
        <row r="97">
          <cell r="D97">
            <v>448</v>
          </cell>
          <cell r="F97"/>
        </row>
        <row r="98">
          <cell r="D98">
            <v>506</v>
          </cell>
          <cell r="F98"/>
        </row>
        <row r="102">
          <cell r="D102">
            <v>21505</v>
          </cell>
          <cell r="F102"/>
        </row>
        <row r="103">
          <cell r="D103"/>
          <cell r="F103">
            <v>3698</v>
          </cell>
        </row>
        <row r="104">
          <cell r="D104">
            <v>1584</v>
          </cell>
          <cell r="F104"/>
        </row>
        <row r="105">
          <cell r="D105"/>
          <cell r="F105"/>
        </row>
        <row r="106">
          <cell r="D106">
            <v>1764</v>
          </cell>
          <cell r="F106"/>
        </row>
        <row r="107">
          <cell r="D107">
            <v>300</v>
          </cell>
          <cell r="F107"/>
        </row>
        <row r="121">
          <cell r="D121">
            <v>67380</v>
          </cell>
          <cell r="F121"/>
        </row>
        <row r="122">
          <cell r="D122"/>
          <cell r="F122">
            <v>11586</v>
          </cell>
        </row>
        <row r="123">
          <cell r="D123">
            <v>15426</v>
          </cell>
          <cell r="F123"/>
        </row>
        <row r="124">
          <cell r="D124"/>
          <cell r="F124"/>
        </row>
        <row r="125">
          <cell r="D125">
            <v>1328</v>
          </cell>
          <cell r="F125"/>
        </row>
        <row r="129">
          <cell r="D129">
            <v>9351</v>
          </cell>
          <cell r="F129"/>
        </row>
        <row r="130">
          <cell r="D130"/>
          <cell r="F130">
            <v>1608</v>
          </cell>
        </row>
        <row r="131">
          <cell r="D131">
            <v>561293</v>
          </cell>
          <cell r="F131"/>
        </row>
        <row r="132">
          <cell r="D132"/>
          <cell r="F132">
            <v>96513</v>
          </cell>
        </row>
        <row r="133">
          <cell r="D133">
            <v>22314</v>
          </cell>
          <cell r="F133"/>
        </row>
        <row r="134">
          <cell r="D134">
            <v>67051</v>
          </cell>
          <cell r="F134"/>
        </row>
        <row r="135">
          <cell r="D135">
            <v>997</v>
          </cell>
          <cell r="F135"/>
        </row>
        <row r="136">
          <cell r="D136"/>
          <cell r="F136"/>
        </row>
        <row r="137">
          <cell r="D137">
            <v>15011</v>
          </cell>
          <cell r="F137"/>
        </row>
        <row r="138">
          <cell r="D138">
            <v>155</v>
          </cell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>
            <v>9986</v>
          </cell>
          <cell r="F146"/>
        </row>
        <row r="150">
          <cell r="D150">
            <v>22585</v>
          </cell>
          <cell r="F150"/>
        </row>
        <row r="151">
          <cell r="D151"/>
          <cell r="F151">
            <v>3883</v>
          </cell>
        </row>
        <row r="152">
          <cell r="D152"/>
          <cell r="F152"/>
        </row>
        <row r="153">
          <cell r="D153">
            <v>10</v>
          </cell>
          <cell r="F153"/>
        </row>
        <row r="154">
          <cell r="D154">
            <v>1420</v>
          </cell>
          <cell r="F154"/>
        </row>
        <row r="158">
          <cell r="D158">
            <v>115825</v>
          </cell>
          <cell r="F158"/>
        </row>
        <row r="159">
          <cell r="D159"/>
          <cell r="F159">
            <v>19916</v>
          </cell>
        </row>
        <row r="160">
          <cell r="D160">
            <v>2120</v>
          </cell>
          <cell r="F160"/>
        </row>
        <row r="161">
          <cell r="D161">
            <v>9574</v>
          </cell>
          <cell r="F161"/>
        </row>
        <row r="162">
          <cell r="D162">
            <v>14029</v>
          </cell>
          <cell r="F162"/>
        </row>
        <row r="163">
          <cell r="D163"/>
          <cell r="F163"/>
        </row>
        <row r="164">
          <cell r="D164">
            <v>19498</v>
          </cell>
          <cell r="F164"/>
        </row>
        <row r="165">
          <cell r="D165">
            <v>9390</v>
          </cell>
          <cell r="F165"/>
        </row>
        <row r="166">
          <cell r="D166">
            <v>6090</v>
          </cell>
          <cell r="F166"/>
        </row>
        <row r="167">
          <cell r="D167">
            <v>251912</v>
          </cell>
          <cell r="F167"/>
        </row>
        <row r="168">
          <cell r="D168"/>
          <cell r="F168"/>
        </row>
        <row r="169">
          <cell r="D169">
            <v>45</v>
          </cell>
          <cell r="F169"/>
        </row>
        <row r="170">
          <cell r="D170"/>
          <cell r="F170"/>
        </row>
        <row r="171">
          <cell r="D171">
            <v>8613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6500</v>
          </cell>
          <cell r="F189"/>
        </row>
        <row r="190">
          <cell r="D190">
            <v>33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4222</v>
          </cell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2726527</v>
          </cell>
        </row>
      </sheetData>
      <sheetData sheetId="8"/>
      <sheetData sheetId="9"/>
      <sheetData sheetId="10">
        <row r="9">
          <cell r="C9">
            <v>14664</v>
          </cell>
          <cell r="D9"/>
          <cell r="E9"/>
          <cell r="F9"/>
        </row>
        <row r="22">
          <cell r="G22">
            <v>50</v>
          </cell>
        </row>
        <row r="24">
          <cell r="G24">
            <v>50</v>
          </cell>
        </row>
        <row r="28">
          <cell r="G28">
            <v>18300</v>
          </cell>
        </row>
        <row r="30">
          <cell r="G30">
            <v>0.80131147540983605</v>
          </cell>
        </row>
        <row r="32">
          <cell r="G32">
            <v>0.80131147540983605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5153094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11157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143549</v>
          </cell>
          <cell r="G40">
            <v>-13096</v>
          </cell>
        </row>
      </sheetData>
      <sheetData sheetId="6"/>
      <sheetData sheetId="7">
        <row r="10">
          <cell r="D10">
            <v>77766</v>
          </cell>
          <cell r="F10">
            <v>5801.01</v>
          </cell>
        </row>
        <row r="11">
          <cell r="D11"/>
          <cell r="F11"/>
        </row>
        <row r="12">
          <cell r="D12">
            <v>62113</v>
          </cell>
          <cell r="F12">
            <v>4633.3599999999997</v>
          </cell>
        </row>
        <row r="13">
          <cell r="D13">
            <v>555692</v>
          </cell>
          <cell r="F13">
            <v>-527789.97</v>
          </cell>
        </row>
        <row r="14">
          <cell r="D14">
            <v>21292</v>
          </cell>
          <cell r="F14"/>
        </row>
        <row r="15">
          <cell r="D15"/>
          <cell r="F15"/>
        </row>
        <row r="16">
          <cell r="D16">
            <v>377400</v>
          </cell>
          <cell r="F16">
            <v>-46353.530000000028</v>
          </cell>
        </row>
        <row r="17">
          <cell r="D17"/>
          <cell r="F17"/>
        </row>
        <row r="18">
          <cell r="D18">
            <v>8822</v>
          </cell>
          <cell r="F18"/>
        </row>
        <row r="19">
          <cell r="D19">
            <v>14054</v>
          </cell>
          <cell r="F19"/>
        </row>
        <row r="20">
          <cell r="D20">
            <v>8965</v>
          </cell>
          <cell r="F20"/>
        </row>
        <row r="21">
          <cell r="D21">
            <v>5408</v>
          </cell>
          <cell r="F21"/>
        </row>
        <row r="22">
          <cell r="D22"/>
          <cell r="F22"/>
        </row>
        <row r="23">
          <cell r="D23">
            <v>5193</v>
          </cell>
          <cell r="F23"/>
        </row>
        <row r="24">
          <cell r="D24"/>
          <cell r="F24"/>
        </row>
        <row r="25">
          <cell r="D25"/>
          <cell r="F25"/>
        </row>
        <row r="26">
          <cell r="D26">
            <v>236001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>
            <v>3405</v>
          </cell>
          <cell r="F29">
            <v>-3405</v>
          </cell>
        </row>
        <row r="30">
          <cell r="D30"/>
          <cell r="F30">
            <v>0</v>
          </cell>
        </row>
        <row r="31">
          <cell r="D31">
            <v>81273</v>
          </cell>
          <cell r="F31"/>
        </row>
        <row r="32">
          <cell r="D32">
            <v>30150</v>
          </cell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>
            <v>31987</v>
          </cell>
          <cell r="F36">
            <v>3268.59</v>
          </cell>
        </row>
        <row r="37">
          <cell r="D37"/>
          <cell r="F37"/>
        </row>
        <row r="38">
          <cell r="D38"/>
          <cell r="F38"/>
        </row>
        <row r="39">
          <cell r="D39">
            <v>1731</v>
          </cell>
          <cell r="F39"/>
        </row>
        <row r="40">
          <cell r="D40">
            <v>3821</v>
          </cell>
          <cell r="F40">
            <v>-3821</v>
          </cell>
        </row>
        <row r="41">
          <cell r="D41"/>
          <cell r="F41"/>
        </row>
        <row r="42">
          <cell r="D42">
            <v>4936</v>
          </cell>
          <cell r="F42"/>
        </row>
        <row r="43">
          <cell r="D43">
            <v>2388</v>
          </cell>
          <cell r="F43"/>
        </row>
        <row r="44">
          <cell r="D44"/>
          <cell r="F44"/>
        </row>
        <row r="45">
          <cell r="D45">
            <v>54822</v>
          </cell>
          <cell r="F45"/>
        </row>
        <row r="57">
          <cell r="D57">
            <v>404160</v>
          </cell>
          <cell r="F57">
            <v>-404160</v>
          </cell>
        </row>
        <row r="58">
          <cell r="D58"/>
          <cell r="F58">
            <v>4178.49</v>
          </cell>
        </row>
        <row r="59">
          <cell r="D59"/>
          <cell r="F59">
            <v>238459.87</v>
          </cell>
        </row>
        <row r="60">
          <cell r="D60"/>
          <cell r="F60"/>
        </row>
        <row r="61">
          <cell r="D61">
            <v>4602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/>
          <cell r="F64"/>
        </row>
        <row r="65">
          <cell r="D65"/>
          <cell r="F65"/>
        </row>
        <row r="66">
          <cell r="D66"/>
          <cell r="F66"/>
        </row>
        <row r="67">
          <cell r="D67">
            <v>8278</v>
          </cell>
          <cell r="F67"/>
        </row>
        <row r="68">
          <cell r="D68"/>
          <cell r="F68"/>
        </row>
        <row r="69">
          <cell r="D69">
            <v>67389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29787</v>
          </cell>
          <cell r="F78">
            <v>2221.98</v>
          </cell>
        </row>
        <row r="79">
          <cell r="D79"/>
          <cell r="F79">
            <v>4524.41</v>
          </cell>
        </row>
        <row r="80">
          <cell r="D80">
            <v>20330</v>
          </cell>
          <cell r="F80"/>
        </row>
        <row r="81">
          <cell r="D81"/>
          <cell r="F81"/>
        </row>
        <row r="82">
          <cell r="D82">
            <v>2461</v>
          </cell>
          <cell r="F82"/>
        </row>
        <row r="83">
          <cell r="D83">
            <v>24417</v>
          </cell>
          <cell r="F83"/>
        </row>
        <row r="84">
          <cell r="D84"/>
          <cell r="F84"/>
        </row>
        <row r="85">
          <cell r="D85"/>
          <cell r="F85"/>
        </row>
        <row r="86">
          <cell r="D86">
            <v>1351</v>
          </cell>
          <cell r="F86"/>
        </row>
        <row r="87">
          <cell r="D87">
            <v>65649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124292</v>
          </cell>
          <cell r="F93">
            <v>9271.65</v>
          </cell>
        </row>
        <row r="94">
          <cell r="D94"/>
          <cell r="F94">
            <v>18878.97</v>
          </cell>
        </row>
        <row r="95">
          <cell r="D95"/>
          <cell r="F95"/>
        </row>
        <row r="96">
          <cell r="D96">
            <v>105475</v>
          </cell>
          <cell r="F96">
            <v>-13096</v>
          </cell>
        </row>
        <row r="97">
          <cell r="D97">
            <v>14505</v>
          </cell>
          <cell r="F97"/>
        </row>
        <row r="98">
          <cell r="D98"/>
          <cell r="F98"/>
        </row>
        <row r="102">
          <cell r="D102">
            <v>49129</v>
          </cell>
          <cell r="F102">
            <v>3664.81</v>
          </cell>
        </row>
        <row r="103">
          <cell r="D103"/>
          <cell r="F103">
            <v>7462.31</v>
          </cell>
        </row>
        <row r="104">
          <cell r="D104">
            <v>9100</v>
          </cell>
          <cell r="F104"/>
        </row>
        <row r="105">
          <cell r="D105"/>
          <cell r="F105"/>
        </row>
        <row r="106">
          <cell r="D106">
            <v>2416</v>
          </cell>
          <cell r="F106"/>
        </row>
        <row r="107">
          <cell r="D107"/>
          <cell r="F107"/>
        </row>
        <row r="121">
          <cell r="D121">
            <v>72091</v>
          </cell>
          <cell r="F121">
            <v>5377.68</v>
          </cell>
        </row>
        <row r="122">
          <cell r="D122"/>
          <cell r="F122">
            <v>10950.05</v>
          </cell>
        </row>
        <row r="123">
          <cell r="D123">
            <v>16181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87327</v>
          </cell>
          <cell r="F129">
            <v>6514.2199999999993</v>
          </cell>
        </row>
        <row r="130">
          <cell r="D130"/>
          <cell r="F130">
            <v>13264.28</v>
          </cell>
        </row>
        <row r="131">
          <cell r="D131">
            <v>1311598</v>
          </cell>
          <cell r="F131">
            <v>100330.58</v>
          </cell>
        </row>
        <row r="132">
          <cell r="D132"/>
          <cell r="F132">
            <v>204293.45</v>
          </cell>
        </row>
        <row r="133">
          <cell r="D133">
            <v>2911</v>
          </cell>
          <cell r="F133"/>
        </row>
        <row r="134">
          <cell r="D134">
            <v>94528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5428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65489</v>
          </cell>
          <cell r="F150">
            <v>4885.2</v>
          </cell>
        </row>
        <row r="151">
          <cell r="D151"/>
          <cell r="F151">
            <v>9947.26</v>
          </cell>
        </row>
        <row r="152">
          <cell r="D152">
            <v>2815</v>
          </cell>
          <cell r="F152"/>
        </row>
        <row r="153">
          <cell r="D153">
            <v>3723</v>
          </cell>
          <cell r="F153"/>
        </row>
        <row r="154">
          <cell r="D154"/>
          <cell r="F154"/>
        </row>
        <row r="158">
          <cell r="D158">
            <v>480538</v>
          </cell>
          <cell r="F158">
            <v>37052.890000000007</v>
          </cell>
        </row>
        <row r="159">
          <cell r="D159"/>
          <cell r="F159">
            <v>75447.250000000015</v>
          </cell>
        </row>
        <row r="160">
          <cell r="D160">
            <v>993</v>
          </cell>
          <cell r="F160"/>
        </row>
        <row r="161">
          <cell r="D161"/>
          <cell r="F161"/>
        </row>
        <row r="162">
          <cell r="D162">
            <v>18220</v>
          </cell>
          <cell r="F162"/>
        </row>
        <row r="163">
          <cell r="D163">
            <v>15121</v>
          </cell>
          <cell r="F163"/>
        </row>
        <row r="164">
          <cell r="D164"/>
          <cell r="F164"/>
        </row>
        <row r="165">
          <cell r="D165">
            <v>9417</v>
          </cell>
          <cell r="F165"/>
        </row>
        <row r="166">
          <cell r="D166"/>
          <cell r="F166"/>
        </row>
        <row r="167">
          <cell r="D167"/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125316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>
            <v>3794</v>
          </cell>
          <cell r="F191"/>
        </row>
        <row r="192">
          <cell r="D192">
            <v>3077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4839127</v>
          </cell>
        </row>
      </sheetData>
      <sheetData sheetId="8"/>
      <sheetData sheetId="9"/>
      <sheetData sheetId="10">
        <row r="9">
          <cell r="C9">
            <v>27835</v>
          </cell>
          <cell r="D9"/>
          <cell r="E9">
            <v>61</v>
          </cell>
          <cell r="F9"/>
        </row>
        <row r="22">
          <cell r="G22">
            <v>82</v>
          </cell>
        </row>
        <row r="24">
          <cell r="G24">
            <v>82</v>
          </cell>
        </row>
        <row r="28">
          <cell r="G28">
            <v>30012</v>
          </cell>
        </row>
        <row r="30">
          <cell r="G30">
            <v>0.92949486871917897</v>
          </cell>
        </row>
        <row r="32">
          <cell r="G32">
            <v>0.92746234839397579</v>
          </cell>
        </row>
        <row r="34">
          <cell r="G34">
            <v>0.99781330656724987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336026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1341.73</v>
          </cell>
        </row>
      </sheetData>
      <sheetData sheetId="6"/>
      <sheetData sheetId="7">
        <row r="10">
          <cell r="D10">
            <v>8336</v>
          </cell>
          <cell r="F10"/>
        </row>
        <row r="11">
          <cell r="D11"/>
          <cell r="F11"/>
        </row>
        <row r="12">
          <cell r="D12">
            <v>4890</v>
          </cell>
          <cell r="F12"/>
        </row>
        <row r="13">
          <cell r="D13">
            <v>11450</v>
          </cell>
          <cell r="F13">
            <v>-10081</v>
          </cell>
        </row>
        <row r="14">
          <cell r="D14"/>
          <cell r="F14"/>
        </row>
        <row r="15">
          <cell r="D15">
            <v>19578</v>
          </cell>
          <cell r="F15"/>
        </row>
        <row r="16">
          <cell r="D16">
            <v>56703</v>
          </cell>
          <cell r="F16">
            <v>1170.67</v>
          </cell>
        </row>
        <row r="17">
          <cell r="D17"/>
          <cell r="F17"/>
        </row>
        <row r="18">
          <cell r="D18">
            <v>2759</v>
          </cell>
          <cell r="F18"/>
        </row>
        <row r="19">
          <cell r="D19">
            <v>1498</v>
          </cell>
          <cell r="F19"/>
        </row>
        <row r="20">
          <cell r="D20">
            <v>1358</v>
          </cell>
          <cell r="F20">
            <v>-1191.7</v>
          </cell>
        </row>
        <row r="21">
          <cell r="D21"/>
          <cell r="F21"/>
        </row>
        <row r="22">
          <cell r="D22"/>
          <cell r="F22"/>
        </row>
        <row r="23">
          <cell r="D23">
            <v>3187</v>
          </cell>
          <cell r="F23"/>
        </row>
        <row r="24">
          <cell r="D24"/>
          <cell r="F24"/>
        </row>
        <row r="25">
          <cell r="D25">
            <v>466</v>
          </cell>
          <cell r="F25">
            <v>-147.91</v>
          </cell>
        </row>
        <row r="26">
          <cell r="D26">
            <v>15972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2812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286</v>
          </cell>
          <cell r="F39"/>
        </row>
        <row r="40">
          <cell r="D40"/>
          <cell r="F40"/>
        </row>
        <row r="41">
          <cell r="D41">
            <v>2132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314</v>
          </cell>
          <cell r="F57"/>
        </row>
        <row r="58">
          <cell r="D58">
            <v>3766</v>
          </cell>
          <cell r="F58"/>
        </row>
        <row r="59">
          <cell r="D59">
            <v>10974</v>
          </cell>
          <cell r="F59">
            <v>-931.39</v>
          </cell>
        </row>
        <row r="60">
          <cell r="D60"/>
          <cell r="F60"/>
        </row>
        <row r="61">
          <cell r="D61">
            <v>627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3081</v>
          </cell>
          <cell r="F64"/>
        </row>
        <row r="65">
          <cell r="D65">
            <v>250</v>
          </cell>
          <cell r="F65"/>
        </row>
        <row r="66">
          <cell r="D66"/>
          <cell r="F66"/>
        </row>
        <row r="67">
          <cell r="D67">
            <v>727</v>
          </cell>
          <cell r="F67"/>
        </row>
        <row r="68">
          <cell r="D68"/>
          <cell r="F68"/>
        </row>
        <row r="69">
          <cell r="D69">
            <v>299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/>
          <cell r="F78"/>
        </row>
        <row r="79">
          <cell r="D79"/>
          <cell r="F79"/>
        </row>
        <row r="80">
          <cell r="D80">
            <v>180</v>
          </cell>
          <cell r="F80"/>
        </row>
        <row r="81">
          <cell r="D81">
            <v>233</v>
          </cell>
          <cell r="F81"/>
        </row>
        <row r="82">
          <cell r="D82"/>
          <cell r="F82"/>
        </row>
        <row r="83">
          <cell r="D83">
            <v>716</v>
          </cell>
          <cell r="F83"/>
        </row>
        <row r="84">
          <cell r="D84">
            <v>422</v>
          </cell>
          <cell r="F84"/>
        </row>
        <row r="85">
          <cell r="D85">
            <v>4924</v>
          </cell>
          <cell r="F85"/>
        </row>
        <row r="86">
          <cell r="D86"/>
          <cell r="F86"/>
        </row>
        <row r="87">
          <cell r="D87">
            <v>3815</v>
          </cell>
          <cell r="F87"/>
        </row>
        <row r="88">
          <cell r="D88"/>
          <cell r="F88"/>
        </row>
        <row r="89">
          <cell r="D89">
            <v>2957</v>
          </cell>
          <cell r="F89"/>
        </row>
        <row r="93">
          <cell r="D93">
            <v>6647</v>
          </cell>
          <cell r="F93"/>
        </row>
        <row r="94">
          <cell r="D94"/>
          <cell r="F94">
            <v>688</v>
          </cell>
        </row>
        <row r="95">
          <cell r="D95">
            <v>1000</v>
          </cell>
          <cell r="F95"/>
        </row>
        <row r="96">
          <cell r="D96">
            <v>17179</v>
          </cell>
          <cell r="F96"/>
        </row>
        <row r="97">
          <cell r="D97">
            <v>1553</v>
          </cell>
          <cell r="F97"/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/>
          <cell r="F104"/>
        </row>
        <row r="105">
          <cell r="D105"/>
          <cell r="F105"/>
        </row>
        <row r="106">
          <cell r="D106">
            <v>1543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1119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8160</v>
          </cell>
          <cell r="F129"/>
        </row>
        <row r="130">
          <cell r="D130"/>
          <cell r="F130">
            <v>844</v>
          </cell>
        </row>
        <row r="131">
          <cell r="D131">
            <v>12</v>
          </cell>
          <cell r="F131"/>
        </row>
        <row r="132">
          <cell r="D132"/>
          <cell r="F132">
            <v>1</v>
          </cell>
        </row>
        <row r="133">
          <cell r="D133"/>
          <cell r="F133"/>
        </row>
        <row r="134">
          <cell r="D134">
            <v>1541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1475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561</v>
          </cell>
          <cell r="F154"/>
        </row>
        <row r="158">
          <cell r="D158">
            <v>82607</v>
          </cell>
          <cell r="F158"/>
        </row>
        <row r="159">
          <cell r="D159"/>
          <cell r="F159">
            <v>8548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300</v>
          </cell>
          <cell r="F162"/>
        </row>
        <row r="163">
          <cell r="D163">
            <v>300</v>
          </cell>
          <cell r="F163"/>
        </row>
        <row r="164">
          <cell r="D164"/>
          <cell r="F164"/>
        </row>
        <row r="165">
          <cell r="D165">
            <v>300</v>
          </cell>
          <cell r="F165"/>
        </row>
        <row r="166">
          <cell r="D166">
            <v>788</v>
          </cell>
          <cell r="F166"/>
        </row>
        <row r="167">
          <cell r="D167"/>
          <cell r="F167"/>
        </row>
        <row r="168">
          <cell r="D168">
            <v>62252</v>
          </cell>
          <cell r="F168"/>
        </row>
        <row r="169">
          <cell r="D169"/>
          <cell r="F169"/>
        </row>
        <row r="170">
          <cell r="D170">
            <v>593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400</v>
          </cell>
          <cell r="F189"/>
        </row>
        <row r="190">
          <cell r="D190"/>
          <cell r="F190"/>
        </row>
        <row r="191">
          <cell r="D191">
            <v>1339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354381</v>
          </cell>
        </row>
      </sheetData>
      <sheetData sheetId="8"/>
      <sheetData sheetId="9"/>
      <sheetData sheetId="10">
        <row r="9">
          <cell r="C9">
            <v>1888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1968</v>
          </cell>
        </row>
        <row r="30">
          <cell r="G30">
            <v>0.95934959349593496</v>
          </cell>
        </row>
        <row r="32">
          <cell r="G32">
            <v>0.95934959349593496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5241835</v>
          </cell>
          <cell r="G10">
            <v>3199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5831</v>
          </cell>
          <cell r="G25">
            <v>0</v>
          </cell>
        </row>
        <row r="40">
          <cell r="E40">
            <v>251801</v>
          </cell>
          <cell r="G40">
            <v>-251801</v>
          </cell>
        </row>
      </sheetData>
      <sheetData sheetId="6"/>
      <sheetData sheetId="7">
        <row r="10">
          <cell r="D10">
            <v>88816</v>
          </cell>
          <cell r="F10"/>
        </row>
        <row r="11">
          <cell r="D11">
            <v>0</v>
          </cell>
          <cell r="F11"/>
        </row>
        <row r="12">
          <cell r="D12">
            <v>86657</v>
          </cell>
          <cell r="F12"/>
        </row>
        <row r="13">
          <cell r="D13">
            <v>100796</v>
          </cell>
          <cell r="F13">
            <v>-75739</v>
          </cell>
        </row>
        <row r="14">
          <cell r="D14">
            <v>0</v>
          </cell>
          <cell r="F14"/>
        </row>
        <row r="15">
          <cell r="D15">
            <v>0</v>
          </cell>
          <cell r="F15"/>
        </row>
        <row r="16">
          <cell r="D16">
            <v>651315</v>
          </cell>
          <cell r="F16">
            <v>-418261</v>
          </cell>
        </row>
        <row r="17">
          <cell r="D17">
            <v>826</v>
          </cell>
          <cell r="F17">
            <v>-826</v>
          </cell>
        </row>
        <row r="18">
          <cell r="D18">
            <v>22157</v>
          </cell>
          <cell r="F18"/>
        </row>
        <row r="19">
          <cell r="D19">
            <v>7613</v>
          </cell>
          <cell r="F19">
            <v>-1320</v>
          </cell>
        </row>
        <row r="20">
          <cell r="D20">
            <v>13060</v>
          </cell>
          <cell r="F20"/>
        </row>
        <row r="21">
          <cell r="D21">
            <v>30463</v>
          </cell>
          <cell r="F21"/>
        </row>
        <row r="22">
          <cell r="D22">
            <v>0</v>
          </cell>
          <cell r="F22"/>
        </row>
        <row r="23">
          <cell r="D23">
            <v>7807</v>
          </cell>
          <cell r="F23"/>
        </row>
        <row r="24">
          <cell r="D24">
            <v>0</v>
          </cell>
          <cell r="F24"/>
        </row>
        <row r="25">
          <cell r="D25">
            <v>0</v>
          </cell>
          <cell r="F25"/>
        </row>
        <row r="26">
          <cell r="D26">
            <v>251313</v>
          </cell>
          <cell r="F26"/>
        </row>
        <row r="27">
          <cell r="D27">
            <v>0</v>
          </cell>
          <cell r="F27"/>
        </row>
        <row r="28">
          <cell r="D28">
            <v>0</v>
          </cell>
          <cell r="F28">
            <v>0</v>
          </cell>
        </row>
        <row r="29">
          <cell r="D29">
            <v>-1132</v>
          </cell>
          <cell r="F29">
            <v>1132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/>
        </row>
        <row r="32">
          <cell r="D32">
            <v>21932</v>
          </cell>
          <cell r="F32"/>
        </row>
        <row r="33">
          <cell r="D33">
            <v>0</v>
          </cell>
          <cell r="F33">
            <v>0</v>
          </cell>
        </row>
        <row r="34">
          <cell r="D34">
            <v>4017</v>
          </cell>
          <cell r="F34"/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/>
        </row>
        <row r="37">
          <cell r="D37">
            <v>0</v>
          </cell>
          <cell r="F37"/>
        </row>
        <row r="38">
          <cell r="D38">
            <v>0</v>
          </cell>
          <cell r="F38"/>
        </row>
        <row r="39">
          <cell r="D39">
            <v>9055</v>
          </cell>
          <cell r="F39"/>
        </row>
        <row r="40">
          <cell r="D40">
            <v>0</v>
          </cell>
          <cell r="F40"/>
        </row>
        <row r="41">
          <cell r="D41">
            <v>14312</v>
          </cell>
          <cell r="F41"/>
        </row>
        <row r="42">
          <cell r="D42">
            <v>1100</v>
          </cell>
          <cell r="F42"/>
        </row>
        <row r="43">
          <cell r="D43">
            <v>5680</v>
          </cell>
          <cell r="F43">
            <v>-5680</v>
          </cell>
        </row>
        <row r="44">
          <cell r="D44">
            <v>0</v>
          </cell>
          <cell r="F44"/>
        </row>
        <row r="45">
          <cell r="D45">
            <v>34005</v>
          </cell>
          <cell r="F45">
            <v>-23288</v>
          </cell>
        </row>
        <row r="57">
          <cell r="D57">
            <v>251866</v>
          </cell>
          <cell r="F57">
            <v>-251866</v>
          </cell>
        </row>
        <row r="58">
          <cell r="D58">
            <v>0</v>
          </cell>
          <cell r="F58">
            <v>65310</v>
          </cell>
        </row>
        <row r="59">
          <cell r="D59">
            <v>329816</v>
          </cell>
          <cell r="F59">
            <v>-190379</v>
          </cell>
        </row>
        <row r="60">
          <cell r="D60">
            <v>13125</v>
          </cell>
          <cell r="F60"/>
        </row>
        <row r="61">
          <cell r="D61">
            <v>18586</v>
          </cell>
          <cell r="F61">
            <v>-14364</v>
          </cell>
        </row>
        <row r="62">
          <cell r="D62">
            <v>0</v>
          </cell>
          <cell r="F62"/>
        </row>
        <row r="63">
          <cell r="D63">
            <v>0</v>
          </cell>
          <cell r="F63"/>
        </row>
        <row r="64">
          <cell r="D64">
            <v>0</v>
          </cell>
          <cell r="F64">
            <v>10404</v>
          </cell>
        </row>
        <row r="65">
          <cell r="D65">
            <v>0</v>
          </cell>
          <cell r="F65"/>
        </row>
        <row r="66">
          <cell r="D66">
            <v>0</v>
          </cell>
          <cell r="F66"/>
        </row>
        <row r="67">
          <cell r="D67">
            <v>0</v>
          </cell>
          <cell r="F67">
            <v>14364</v>
          </cell>
        </row>
        <row r="68">
          <cell r="D68">
            <v>0</v>
          </cell>
          <cell r="F68"/>
        </row>
        <row r="69">
          <cell r="D69">
            <v>227728</v>
          </cell>
          <cell r="F69">
            <v>-201159</v>
          </cell>
        </row>
        <row r="70">
          <cell r="D70">
            <v>0</v>
          </cell>
          <cell r="F70"/>
        </row>
        <row r="71">
          <cell r="D71">
            <v>0</v>
          </cell>
          <cell r="F71"/>
        </row>
        <row r="72">
          <cell r="D72">
            <v>0</v>
          </cell>
          <cell r="F72"/>
        </row>
        <row r="73">
          <cell r="D73">
            <v>1241</v>
          </cell>
          <cell r="F73">
            <v>-1049</v>
          </cell>
        </row>
        <row r="78">
          <cell r="D78">
            <v>111740</v>
          </cell>
          <cell r="F78"/>
        </row>
        <row r="79">
          <cell r="D79">
            <v>10474</v>
          </cell>
          <cell r="F79">
            <v>4356</v>
          </cell>
        </row>
        <row r="80">
          <cell r="D80">
            <v>17412</v>
          </cell>
          <cell r="F80"/>
        </row>
        <row r="81">
          <cell r="D81">
            <v>1323</v>
          </cell>
          <cell r="F81"/>
        </row>
        <row r="82">
          <cell r="D82">
            <v>3820</v>
          </cell>
          <cell r="F82"/>
        </row>
        <row r="83">
          <cell r="D83">
            <v>6966</v>
          </cell>
          <cell r="F83"/>
        </row>
        <row r="84">
          <cell r="D84">
            <v>18120</v>
          </cell>
          <cell r="F84"/>
        </row>
        <row r="85">
          <cell r="D85">
            <v>0</v>
          </cell>
          <cell r="F85"/>
        </row>
        <row r="86">
          <cell r="D86">
            <v>20228</v>
          </cell>
          <cell r="F86"/>
        </row>
        <row r="87">
          <cell r="D87">
            <v>67616</v>
          </cell>
          <cell r="F87"/>
        </row>
        <row r="88">
          <cell r="D88">
            <v>0</v>
          </cell>
          <cell r="F88"/>
        </row>
        <row r="89">
          <cell r="D89">
            <v>8150</v>
          </cell>
          <cell r="F89">
            <v>32420</v>
          </cell>
        </row>
        <row r="93">
          <cell r="D93">
            <v>0</v>
          </cell>
          <cell r="F93"/>
        </row>
        <row r="94">
          <cell r="D94">
            <v>0</v>
          </cell>
          <cell r="F94"/>
        </row>
        <row r="95">
          <cell r="D95">
            <v>418135</v>
          </cell>
          <cell r="F95">
            <v>-166507</v>
          </cell>
        </row>
        <row r="96">
          <cell r="D96">
            <v>-5537</v>
          </cell>
          <cell r="F96">
            <v>166507</v>
          </cell>
        </row>
        <row r="97">
          <cell r="D97">
            <v>630</v>
          </cell>
          <cell r="F97"/>
        </row>
        <row r="98">
          <cell r="D98">
            <v>11</v>
          </cell>
          <cell r="F98">
            <v>57</v>
          </cell>
        </row>
        <row r="102">
          <cell r="D102">
            <v>0</v>
          </cell>
          <cell r="F102"/>
        </row>
        <row r="103">
          <cell r="D103">
            <v>0</v>
          </cell>
          <cell r="F103"/>
        </row>
        <row r="104">
          <cell r="D104">
            <v>0</v>
          </cell>
          <cell r="F104"/>
        </row>
        <row r="105">
          <cell r="D105">
            <v>77690</v>
          </cell>
          <cell r="F105"/>
        </row>
        <row r="106">
          <cell r="D106">
            <v>18</v>
          </cell>
          <cell r="F106"/>
        </row>
        <row r="107">
          <cell r="D107">
            <v>0</v>
          </cell>
          <cell r="F107"/>
        </row>
        <row r="121">
          <cell r="D121">
            <v>0</v>
          </cell>
          <cell r="F121"/>
        </row>
        <row r="122">
          <cell r="D122">
            <v>0</v>
          </cell>
          <cell r="F122"/>
        </row>
        <row r="123">
          <cell r="D123">
            <v>0</v>
          </cell>
          <cell r="F123"/>
        </row>
        <row r="124">
          <cell r="D124">
            <v>116535</v>
          </cell>
          <cell r="F124"/>
        </row>
        <row r="125">
          <cell r="D125">
            <v>0</v>
          </cell>
          <cell r="F125">
            <v>7</v>
          </cell>
        </row>
        <row r="129">
          <cell r="D129">
            <v>155269</v>
          </cell>
          <cell r="F129"/>
        </row>
        <row r="130">
          <cell r="D130">
            <v>14359</v>
          </cell>
          <cell r="F130">
            <v>6052</v>
          </cell>
        </row>
        <row r="131">
          <cell r="D131">
            <v>1114221</v>
          </cell>
          <cell r="F131"/>
        </row>
        <row r="132">
          <cell r="D132">
            <v>104412</v>
          </cell>
          <cell r="F132">
            <v>43431</v>
          </cell>
        </row>
        <row r="133">
          <cell r="D133">
            <v>14400</v>
          </cell>
          <cell r="F133"/>
        </row>
        <row r="134">
          <cell r="D134">
            <v>41116</v>
          </cell>
          <cell r="F134">
            <v>90</v>
          </cell>
        </row>
        <row r="135">
          <cell r="D135">
            <v>326</v>
          </cell>
          <cell r="F135"/>
        </row>
        <row r="136">
          <cell r="D136">
            <v>0</v>
          </cell>
          <cell r="F136"/>
        </row>
        <row r="137">
          <cell r="D137">
            <v>0</v>
          </cell>
          <cell r="F137"/>
        </row>
        <row r="138">
          <cell r="D138">
            <v>0</v>
          </cell>
          <cell r="F138"/>
        </row>
        <row r="139">
          <cell r="D139">
            <v>0</v>
          </cell>
          <cell r="F139"/>
        </row>
        <row r="141">
          <cell r="D141">
            <v>0</v>
          </cell>
          <cell r="F141"/>
        </row>
        <row r="142">
          <cell r="D142">
            <v>0</v>
          </cell>
          <cell r="F142"/>
        </row>
        <row r="143">
          <cell r="D143">
            <v>0</v>
          </cell>
          <cell r="F143"/>
        </row>
        <row r="144">
          <cell r="D144">
            <v>0</v>
          </cell>
          <cell r="F144"/>
        </row>
        <row r="145">
          <cell r="D145">
            <v>0</v>
          </cell>
          <cell r="F145"/>
        </row>
        <row r="146">
          <cell r="D146">
            <v>61543</v>
          </cell>
          <cell r="F146">
            <v>78271</v>
          </cell>
        </row>
        <row r="150">
          <cell r="D150">
            <v>243806</v>
          </cell>
          <cell r="F150"/>
        </row>
        <row r="151">
          <cell r="D151">
            <v>24498</v>
          </cell>
          <cell r="F151">
            <v>9503</v>
          </cell>
        </row>
        <row r="152">
          <cell r="D152">
            <v>0</v>
          </cell>
          <cell r="F152"/>
        </row>
        <row r="153">
          <cell r="D153">
            <v>5663</v>
          </cell>
          <cell r="F153"/>
        </row>
        <row r="154">
          <cell r="D154">
            <v>6222</v>
          </cell>
          <cell r="F154">
            <v>3</v>
          </cell>
        </row>
        <row r="158">
          <cell r="D158">
            <v>318047</v>
          </cell>
          <cell r="F158"/>
        </row>
        <row r="159">
          <cell r="D159">
            <v>31303</v>
          </cell>
          <cell r="F159">
            <v>12397</v>
          </cell>
        </row>
        <row r="160">
          <cell r="D160">
            <v>0</v>
          </cell>
          <cell r="F160"/>
        </row>
        <row r="161">
          <cell r="D161">
            <v>443269</v>
          </cell>
          <cell r="F161"/>
        </row>
        <row r="162">
          <cell r="D162">
            <v>0</v>
          </cell>
          <cell r="F162"/>
        </row>
        <row r="163">
          <cell r="D163">
            <v>0</v>
          </cell>
          <cell r="F163"/>
        </row>
        <row r="164">
          <cell r="D164">
            <v>0</v>
          </cell>
          <cell r="F164"/>
        </row>
        <row r="165">
          <cell r="D165">
            <v>0</v>
          </cell>
          <cell r="F165"/>
        </row>
        <row r="166">
          <cell r="D166">
            <v>0</v>
          </cell>
          <cell r="F166"/>
        </row>
        <row r="167">
          <cell r="D167">
            <v>0</v>
          </cell>
          <cell r="F167"/>
        </row>
        <row r="168">
          <cell r="D168">
            <v>0</v>
          </cell>
          <cell r="F168"/>
        </row>
        <row r="169">
          <cell r="D169">
            <v>0</v>
          </cell>
          <cell r="F169"/>
        </row>
        <row r="170">
          <cell r="D170">
            <v>0</v>
          </cell>
          <cell r="F170"/>
        </row>
        <row r="171">
          <cell r="D171">
            <v>0</v>
          </cell>
          <cell r="F171">
            <v>1</v>
          </cell>
        </row>
        <row r="186">
          <cell r="D186">
            <v>0</v>
          </cell>
          <cell r="F186"/>
        </row>
        <row r="187">
          <cell r="D187">
            <v>0</v>
          </cell>
          <cell r="F187"/>
        </row>
        <row r="188">
          <cell r="D188">
            <v>0</v>
          </cell>
          <cell r="F188"/>
        </row>
        <row r="189">
          <cell r="D189">
            <v>0</v>
          </cell>
          <cell r="F189"/>
        </row>
        <row r="190">
          <cell r="D190">
            <v>252</v>
          </cell>
          <cell r="F190"/>
        </row>
        <row r="191">
          <cell r="D191">
            <v>0</v>
          </cell>
          <cell r="F191"/>
        </row>
        <row r="192">
          <cell r="D192">
            <v>0</v>
          </cell>
          <cell r="F192"/>
        </row>
        <row r="193">
          <cell r="D193">
            <v>0</v>
          </cell>
          <cell r="F193"/>
        </row>
        <row r="194">
          <cell r="D194">
            <v>0</v>
          </cell>
          <cell r="F194"/>
        </row>
        <row r="195">
          <cell r="D195">
            <v>0</v>
          </cell>
          <cell r="F195"/>
        </row>
        <row r="196">
          <cell r="D196">
            <v>0</v>
          </cell>
          <cell r="F196"/>
        </row>
        <row r="197">
          <cell r="D197">
            <v>18425</v>
          </cell>
          <cell r="F197"/>
        </row>
        <row r="198">
          <cell r="D198">
            <v>0</v>
          </cell>
          <cell r="F198"/>
        </row>
        <row r="199">
          <cell r="D199">
            <v>0</v>
          </cell>
          <cell r="F199"/>
        </row>
        <row r="204">
          <cell r="D204">
            <v>5662616</v>
          </cell>
        </row>
      </sheetData>
      <sheetData sheetId="8"/>
      <sheetData sheetId="9"/>
      <sheetData sheetId="10">
        <row r="9">
          <cell r="C9">
            <v>29673</v>
          </cell>
          <cell r="D9">
            <v>0</v>
          </cell>
          <cell r="E9">
            <v>0</v>
          </cell>
          <cell r="F9">
            <v>33</v>
          </cell>
        </row>
        <row r="22">
          <cell r="G22">
            <v>83</v>
          </cell>
        </row>
        <row r="24">
          <cell r="G24">
            <v>83</v>
          </cell>
        </row>
        <row r="28">
          <cell r="G28">
            <v>30378</v>
          </cell>
        </row>
        <row r="30">
          <cell r="G30">
            <v>0.9778787280268616</v>
          </cell>
        </row>
        <row r="32">
          <cell r="G32">
            <v>0.97679241556389496</v>
          </cell>
        </row>
        <row r="34">
          <cell r="G34">
            <v>0.99888911331044228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337305.49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1393.59</v>
          </cell>
        </row>
      </sheetData>
      <sheetData sheetId="6"/>
      <sheetData sheetId="7">
        <row r="10">
          <cell r="D10">
            <v>7833</v>
          </cell>
          <cell r="F10"/>
        </row>
        <row r="11">
          <cell r="D11"/>
          <cell r="F11"/>
        </row>
        <row r="12">
          <cell r="D12">
            <v>4731</v>
          </cell>
          <cell r="F12"/>
        </row>
        <row r="13">
          <cell r="D13">
            <v>15220</v>
          </cell>
          <cell r="F13">
            <v>-13951</v>
          </cell>
        </row>
        <row r="14">
          <cell r="D14"/>
          <cell r="F14"/>
        </row>
        <row r="15">
          <cell r="D15">
            <v>19578</v>
          </cell>
          <cell r="F15"/>
        </row>
        <row r="16">
          <cell r="D16">
            <v>68818</v>
          </cell>
          <cell r="F16">
            <v>1420.78</v>
          </cell>
        </row>
        <row r="17">
          <cell r="D17"/>
          <cell r="F17"/>
        </row>
        <row r="18">
          <cell r="D18">
            <v>4111</v>
          </cell>
          <cell r="F18"/>
        </row>
        <row r="19">
          <cell r="D19">
            <v>555</v>
          </cell>
          <cell r="F19"/>
        </row>
        <row r="20">
          <cell r="D20">
            <v>1378</v>
          </cell>
          <cell r="F20">
            <v>-1239.55</v>
          </cell>
        </row>
        <row r="21">
          <cell r="D21"/>
          <cell r="F21"/>
        </row>
        <row r="22">
          <cell r="D22"/>
          <cell r="F22"/>
        </row>
        <row r="23">
          <cell r="D23">
            <v>2388</v>
          </cell>
          <cell r="F23"/>
        </row>
        <row r="24">
          <cell r="D24"/>
          <cell r="F24"/>
        </row>
        <row r="25">
          <cell r="D25">
            <v>565</v>
          </cell>
          <cell r="F25">
            <v>-147.91</v>
          </cell>
        </row>
        <row r="26">
          <cell r="D26">
            <v>16032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3830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20</v>
          </cell>
          <cell r="F39"/>
        </row>
        <row r="40">
          <cell r="D40"/>
          <cell r="F40"/>
        </row>
        <row r="41">
          <cell r="D41">
            <v>1792</v>
          </cell>
          <cell r="F41"/>
        </row>
        <row r="42">
          <cell r="D42"/>
          <cell r="F42"/>
        </row>
        <row r="43">
          <cell r="D43">
            <v>643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426</v>
          </cell>
          <cell r="F57"/>
        </row>
        <row r="58">
          <cell r="D58">
            <v>4100</v>
          </cell>
          <cell r="F58"/>
        </row>
        <row r="59">
          <cell r="D59">
            <v>10471</v>
          </cell>
          <cell r="F59">
            <v>-896.01</v>
          </cell>
        </row>
        <row r="60">
          <cell r="D60"/>
          <cell r="F60"/>
        </row>
        <row r="61">
          <cell r="D61">
            <v>761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2643</v>
          </cell>
          <cell r="F64"/>
        </row>
        <row r="65">
          <cell r="D65">
            <v>352</v>
          </cell>
          <cell r="F65"/>
        </row>
        <row r="66">
          <cell r="D66"/>
          <cell r="F66"/>
        </row>
        <row r="67">
          <cell r="D67">
            <v>883</v>
          </cell>
          <cell r="F67"/>
        </row>
        <row r="68">
          <cell r="D68"/>
          <cell r="F68"/>
        </row>
        <row r="69">
          <cell r="D69">
            <v>412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4651</v>
          </cell>
          <cell r="F78"/>
        </row>
        <row r="79">
          <cell r="D79"/>
          <cell r="F79">
            <v>470</v>
          </cell>
        </row>
        <row r="80">
          <cell r="D80">
            <v>187</v>
          </cell>
          <cell r="F80"/>
        </row>
        <row r="81">
          <cell r="D81"/>
          <cell r="F81"/>
        </row>
        <row r="82">
          <cell r="D82"/>
          <cell r="F82"/>
        </row>
        <row r="83">
          <cell r="D83">
            <v>1349</v>
          </cell>
          <cell r="F83"/>
        </row>
        <row r="84">
          <cell r="D84">
            <v>21</v>
          </cell>
          <cell r="F84"/>
        </row>
        <row r="85">
          <cell r="D85">
            <v>6440</v>
          </cell>
          <cell r="F85"/>
        </row>
        <row r="86">
          <cell r="D86"/>
          <cell r="F86"/>
        </row>
        <row r="87">
          <cell r="D87">
            <v>3742</v>
          </cell>
          <cell r="F87"/>
        </row>
        <row r="88">
          <cell r="D88"/>
          <cell r="F88"/>
        </row>
        <row r="89">
          <cell r="D89">
            <v>5005</v>
          </cell>
          <cell r="F89"/>
        </row>
        <row r="93">
          <cell r="D93">
            <v>6235</v>
          </cell>
          <cell r="F93"/>
        </row>
        <row r="94">
          <cell r="D94"/>
          <cell r="F94">
            <v>630</v>
          </cell>
        </row>
        <row r="95">
          <cell r="D95">
            <v>1000</v>
          </cell>
          <cell r="F95"/>
        </row>
        <row r="96">
          <cell r="D96">
            <v>16490</v>
          </cell>
          <cell r="F96"/>
        </row>
        <row r="97">
          <cell r="D97">
            <v>853</v>
          </cell>
          <cell r="F97"/>
        </row>
        <row r="98">
          <cell r="D98">
            <v>105</v>
          </cell>
          <cell r="F98"/>
        </row>
        <row r="102">
          <cell r="D102">
            <v>3653</v>
          </cell>
          <cell r="F102"/>
        </row>
        <row r="103">
          <cell r="D103"/>
          <cell r="F103">
            <v>369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1587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1695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17243</v>
          </cell>
          <cell r="F129"/>
        </row>
        <row r="130">
          <cell r="D130"/>
          <cell r="F130">
            <v>1741</v>
          </cell>
        </row>
        <row r="131">
          <cell r="D131"/>
          <cell r="F131"/>
        </row>
        <row r="132">
          <cell r="D132"/>
          <cell r="F132"/>
        </row>
        <row r="133">
          <cell r="D133"/>
          <cell r="F133"/>
        </row>
        <row r="134">
          <cell r="D134">
            <v>618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3254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598</v>
          </cell>
          <cell r="F154"/>
        </row>
        <row r="158">
          <cell r="D158">
            <v>106357</v>
          </cell>
          <cell r="F158"/>
        </row>
        <row r="159">
          <cell r="D159"/>
          <cell r="F159">
            <v>10741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375</v>
          </cell>
          <cell r="F162"/>
        </row>
        <row r="163">
          <cell r="D163">
            <v>300</v>
          </cell>
          <cell r="F163"/>
        </row>
        <row r="164">
          <cell r="D164"/>
          <cell r="F164"/>
        </row>
        <row r="165">
          <cell r="D165">
            <v>300</v>
          </cell>
          <cell r="F165"/>
        </row>
        <row r="166">
          <cell r="D166">
            <v>1558</v>
          </cell>
          <cell r="F166"/>
        </row>
        <row r="167">
          <cell r="D167"/>
          <cell r="F167"/>
        </row>
        <row r="168">
          <cell r="D168">
            <v>57347</v>
          </cell>
          <cell r="F168"/>
        </row>
        <row r="169">
          <cell r="D169">
            <v>92</v>
          </cell>
          <cell r="F169"/>
        </row>
        <row r="170">
          <cell r="D170">
            <v>472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501</v>
          </cell>
          <cell r="F189"/>
        </row>
        <row r="190">
          <cell r="D190"/>
          <cell r="F190"/>
        </row>
        <row r="191">
          <cell r="D191">
            <v>2320</v>
          </cell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411890</v>
          </cell>
        </row>
      </sheetData>
      <sheetData sheetId="8"/>
      <sheetData sheetId="9"/>
      <sheetData sheetId="10">
        <row r="9">
          <cell r="C9">
            <v>1895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1968</v>
          </cell>
        </row>
        <row r="30">
          <cell r="G30">
            <v>0.96290650406504064</v>
          </cell>
        </row>
        <row r="32">
          <cell r="G32">
            <v>0.96290650406504064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711588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1957</v>
          </cell>
        </row>
      </sheetData>
      <sheetData sheetId="6"/>
      <sheetData sheetId="7">
        <row r="10">
          <cell r="D10">
            <v>26136</v>
          </cell>
          <cell r="F10"/>
        </row>
        <row r="11">
          <cell r="D11"/>
          <cell r="F11"/>
        </row>
        <row r="12">
          <cell r="D12">
            <v>10102</v>
          </cell>
          <cell r="F12"/>
        </row>
        <row r="13">
          <cell r="D13">
            <v>33251</v>
          </cell>
          <cell r="F13">
            <v>-29653</v>
          </cell>
        </row>
        <row r="14">
          <cell r="D14"/>
          <cell r="F14"/>
        </row>
        <row r="15">
          <cell r="D15">
            <v>42827</v>
          </cell>
          <cell r="F15"/>
        </row>
        <row r="16">
          <cell r="D16">
            <v>163359</v>
          </cell>
          <cell r="F16">
            <v>3372.63</v>
          </cell>
        </row>
        <row r="17">
          <cell r="D17"/>
          <cell r="F17"/>
        </row>
        <row r="18">
          <cell r="D18">
            <v>2539</v>
          </cell>
          <cell r="F18"/>
        </row>
        <row r="19">
          <cell r="D19">
            <v>1170</v>
          </cell>
          <cell r="F19"/>
        </row>
        <row r="20">
          <cell r="D20">
            <v>2843</v>
          </cell>
          <cell r="F20">
            <v>-1396.47</v>
          </cell>
        </row>
        <row r="21">
          <cell r="D21"/>
          <cell r="F21"/>
        </row>
        <row r="22">
          <cell r="D22"/>
          <cell r="F22"/>
        </row>
        <row r="23">
          <cell r="D23">
            <v>2886</v>
          </cell>
          <cell r="F23"/>
        </row>
        <row r="24">
          <cell r="D24"/>
          <cell r="F24"/>
        </row>
        <row r="25">
          <cell r="D25">
            <v>1342</v>
          </cell>
          <cell r="F25">
            <v>-323.99</v>
          </cell>
        </row>
        <row r="26">
          <cell r="D26">
            <v>34804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8511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182</v>
          </cell>
          <cell r="F39"/>
        </row>
        <row r="40">
          <cell r="D40"/>
          <cell r="F40"/>
        </row>
        <row r="41">
          <cell r="D41">
            <v>1633</v>
          </cell>
          <cell r="F41"/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1102</v>
          </cell>
          <cell r="F57"/>
        </row>
        <row r="58">
          <cell r="D58">
            <v>7632</v>
          </cell>
          <cell r="F58"/>
        </row>
        <row r="59">
          <cell r="D59">
            <v>23415</v>
          </cell>
          <cell r="F59">
            <v>-1995.85</v>
          </cell>
        </row>
        <row r="60">
          <cell r="D60"/>
          <cell r="F60"/>
        </row>
        <row r="61">
          <cell r="D61">
            <v>1807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2890</v>
          </cell>
          <cell r="F64"/>
        </row>
        <row r="65">
          <cell r="D65">
            <v>698</v>
          </cell>
          <cell r="F65"/>
        </row>
        <row r="66">
          <cell r="D66"/>
          <cell r="F66"/>
        </row>
        <row r="67">
          <cell r="D67">
            <v>2095</v>
          </cell>
          <cell r="F67"/>
        </row>
        <row r="68">
          <cell r="D68"/>
          <cell r="F68"/>
        </row>
        <row r="69">
          <cell r="D69">
            <v>336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10883</v>
          </cell>
          <cell r="F78"/>
        </row>
        <row r="79">
          <cell r="D79"/>
          <cell r="F79">
            <v>1081</v>
          </cell>
        </row>
        <row r="80">
          <cell r="D80">
            <v>42</v>
          </cell>
          <cell r="F80"/>
        </row>
        <row r="81">
          <cell r="D81">
            <v>532</v>
          </cell>
          <cell r="F81"/>
        </row>
        <row r="82">
          <cell r="D82">
            <v>379</v>
          </cell>
          <cell r="F82"/>
        </row>
        <row r="83">
          <cell r="D83">
            <v>1052</v>
          </cell>
          <cell r="F83"/>
        </row>
        <row r="84">
          <cell r="D84">
            <v>1425</v>
          </cell>
          <cell r="F84"/>
        </row>
        <row r="85">
          <cell r="D85">
            <v>10248</v>
          </cell>
          <cell r="F85"/>
        </row>
        <row r="86">
          <cell r="D86"/>
          <cell r="F86"/>
        </row>
        <row r="87">
          <cell r="D87">
            <v>7780</v>
          </cell>
          <cell r="F87"/>
        </row>
        <row r="88">
          <cell r="D88"/>
          <cell r="F88"/>
        </row>
        <row r="89">
          <cell r="D89">
            <v>11434</v>
          </cell>
          <cell r="F89"/>
        </row>
        <row r="93">
          <cell r="D93">
            <v>19641</v>
          </cell>
          <cell r="F93"/>
        </row>
        <row r="94">
          <cell r="D94"/>
          <cell r="F94">
            <v>1950</v>
          </cell>
        </row>
        <row r="95">
          <cell r="D95">
            <v>1500</v>
          </cell>
          <cell r="F95"/>
        </row>
        <row r="96">
          <cell r="D96">
            <v>25997</v>
          </cell>
          <cell r="F96"/>
        </row>
        <row r="97">
          <cell r="D97">
            <v>3812</v>
          </cell>
          <cell r="F97"/>
        </row>
        <row r="98">
          <cell r="D98"/>
          <cell r="F98"/>
        </row>
        <row r="102">
          <cell r="D102">
            <v>9234</v>
          </cell>
          <cell r="F102"/>
        </row>
        <row r="103">
          <cell r="D103"/>
          <cell r="F103">
            <v>917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936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3928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34548</v>
          </cell>
          <cell r="F129"/>
        </row>
        <row r="130">
          <cell r="D130"/>
          <cell r="F130">
            <v>3430</v>
          </cell>
        </row>
        <row r="131">
          <cell r="D131">
            <v>18640</v>
          </cell>
          <cell r="F131"/>
        </row>
        <row r="132">
          <cell r="D132"/>
          <cell r="F132">
            <v>1851</v>
          </cell>
        </row>
        <row r="133">
          <cell r="D133"/>
          <cell r="F133"/>
        </row>
        <row r="134">
          <cell r="D134">
            <v>3302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4970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3019</v>
          </cell>
          <cell r="F154"/>
        </row>
        <row r="158">
          <cell r="D158">
            <v>205696</v>
          </cell>
          <cell r="F158"/>
        </row>
        <row r="159">
          <cell r="D159"/>
          <cell r="F159">
            <v>20424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540</v>
          </cell>
          <cell r="F162"/>
        </row>
        <row r="163">
          <cell r="D163">
            <v>825</v>
          </cell>
          <cell r="F163"/>
        </row>
        <row r="164">
          <cell r="D164"/>
          <cell r="F164"/>
        </row>
        <row r="165">
          <cell r="D165">
            <v>600</v>
          </cell>
          <cell r="F165"/>
        </row>
        <row r="166">
          <cell r="D166">
            <v>1810</v>
          </cell>
          <cell r="F166"/>
        </row>
        <row r="167">
          <cell r="D167">
            <v>79427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2664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1250</v>
          </cell>
          <cell r="F189"/>
        </row>
        <row r="190">
          <cell r="D190"/>
          <cell r="F190"/>
        </row>
        <row r="191">
          <cell r="D191">
            <v>3120</v>
          </cell>
          <cell r="F191"/>
        </row>
        <row r="192">
          <cell r="D192">
            <v>816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841610</v>
          </cell>
        </row>
      </sheetData>
      <sheetData sheetId="8"/>
      <sheetData sheetId="9"/>
      <sheetData sheetId="10">
        <row r="9">
          <cell r="C9">
            <v>4114</v>
          </cell>
          <cell r="D9"/>
          <cell r="E9"/>
          <cell r="F9"/>
        </row>
        <row r="22">
          <cell r="G22">
            <v>35</v>
          </cell>
        </row>
        <row r="24">
          <cell r="G24">
            <v>35</v>
          </cell>
        </row>
        <row r="28">
          <cell r="G28">
            <v>4305</v>
          </cell>
        </row>
        <row r="30">
          <cell r="G30">
            <v>0.95563298490127757</v>
          </cell>
        </row>
        <row r="32">
          <cell r="G32">
            <v>0.95563298490127757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3633579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335</v>
          </cell>
          <cell r="G40">
            <v>0</v>
          </cell>
        </row>
      </sheetData>
      <sheetData sheetId="6"/>
      <sheetData sheetId="7">
        <row r="10">
          <cell r="D10">
            <v>83490</v>
          </cell>
          <cell r="F10">
            <v>43216</v>
          </cell>
        </row>
        <row r="11">
          <cell r="D11"/>
          <cell r="F11"/>
        </row>
        <row r="12">
          <cell r="D12">
            <v>51071</v>
          </cell>
          <cell r="F12">
            <v>23307</v>
          </cell>
        </row>
        <row r="13">
          <cell r="D13">
            <v>30338</v>
          </cell>
          <cell r="F13">
            <v>45238</v>
          </cell>
        </row>
        <row r="14">
          <cell r="D14"/>
          <cell r="F14"/>
        </row>
        <row r="15">
          <cell r="D15">
            <v>208988</v>
          </cell>
          <cell r="F15">
            <v>-208988</v>
          </cell>
        </row>
        <row r="16">
          <cell r="D16"/>
          <cell r="F16"/>
        </row>
        <row r="17">
          <cell r="D17">
            <v>858</v>
          </cell>
          <cell r="F17"/>
        </row>
        <row r="18">
          <cell r="D18">
            <v>7167</v>
          </cell>
          <cell r="F18">
            <v>6811</v>
          </cell>
        </row>
        <row r="19">
          <cell r="D19">
            <v>7668</v>
          </cell>
          <cell r="F19">
            <v>865</v>
          </cell>
        </row>
        <row r="20">
          <cell r="D20">
            <v>12833</v>
          </cell>
          <cell r="F20">
            <v>1044</v>
          </cell>
        </row>
        <row r="21">
          <cell r="D21">
            <v>4255</v>
          </cell>
          <cell r="F21">
            <v>4680</v>
          </cell>
        </row>
        <row r="22">
          <cell r="D22"/>
          <cell r="F22"/>
        </row>
        <row r="23">
          <cell r="D23">
            <v>11266</v>
          </cell>
          <cell r="F23">
            <v>11601</v>
          </cell>
        </row>
        <row r="24">
          <cell r="D24">
            <v>11509</v>
          </cell>
          <cell r="F24">
            <v>16767</v>
          </cell>
        </row>
        <row r="25">
          <cell r="D25"/>
          <cell r="F25"/>
        </row>
        <row r="26">
          <cell r="D26"/>
          <cell r="F26"/>
        </row>
        <row r="27">
          <cell r="D27">
            <v>66</v>
          </cell>
          <cell r="F27"/>
        </row>
        <row r="28">
          <cell r="D28">
            <v>-1887</v>
          </cell>
          <cell r="F28">
            <v>1887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/>
          <cell r="F31">
            <v>191</v>
          </cell>
        </row>
        <row r="32">
          <cell r="D32"/>
          <cell r="F32"/>
        </row>
        <row r="33">
          <cell r="D33"/>
          <cell r="F33">
            <v>0</v>
          </cell>
        </row>
        <row r="34">
          <cell r="D34">
            <v>176086</v>
          </cell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574</v>
          </cell>
          <cell r="F39">
            <v>32</v>
          </cell>
        </row>
        <row r="40">
          <cell r="D40">
            <v>500</v>
          </cell>
          <cell r="F40">
            <v>250</v>
          </cell>
        </row>
        <row r="41">
          <cell r="D41">
            <v>3445</v>
          </cell>
          <cell r="F41">
            <v>98</v>
          </cell>
        </row>
        <row r="42">
          <cell r="D42"/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279</v>
          </cell>
          <cell r="F45">
            <v>212</v>
          </cell>
        </row>
        <row r="57">
          <cell r="D57">
            <v>327185</v>
          </cell>
          <cell r="F57">
            <v>-311278</v>
          </cell>
        </row>
        <row r="58">
          <cell r="D58">
            <v>365</v>
          </cell>
          <cell r="F58">
            <v>6260</v>
          </cell>
        </row>
        <row r="59">
          <cell r="D59"/>
          <cell r="F59"/>
        </row>
        <row r="60">
          <cell r="D60">
            <v>13377</v>
          </cell>
          <cell r="F60"/>
        </row>
        <row r="61">
          <cell r="D61">
            <v>42341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3999</v>
          </cell>
          <cell r="F64">
            <v>5992</v>
          </cell>
        </row>
        <row r="65">
          <cell r="D65"/>
          <cell r="F65"/>
        </row>
        <row r="66">
          <cell r="D66"/>
          <cell r="F66"/>
        </row>
        <row r="67">
          <cell r="D67"/>
          <cell r="F67">
            <v>606</v>
          </cell>
        </row>
        <row r="68">
          <cell r="D68"/>
          <cell r="F68"/>
        </row>
        <row r="69">
          <cell r="D69"/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>
            <v>500</v>
          </cell>
        </row>
        <row r="78">
          <cell r="D78">
            <v>62369</v>
          </cell>
          <cell r="F78"/>
        </row>
        <row r="79">
          <cell r="D79">
            <v>6857</v>
          </cell>
          <cell r="F79"/>
        </row>
        <row r="80">
          <cell r="D80">
            <v>3763</v>
          </cell>
          <cell r="F80"/>
        </row>
        <row r="81">
          <cell r="D81">
            <v>3865</v>
          </cell>
          <cell r="F81"/>
        </row>
        <row r="82">
          <cell r="D82">
            <v>1227</v>
          </cell>
          <cell r="F82"/>
        </row>
        <row r="83">
          <cell r="D83">
            <v>6448</v>
          </cell>
          <cell r="F83"/>
        </row>
        <row r="84">
          <cell r="D84">
            <v>11192</v>
          </cell>
          <cell r="F84"/>
        </row>
        <row r="85">
          <cell r="D85">
            <v>2465</v>
          </cell>
          <cell r="F85"/>
        </row>
        <row r="86">
          <cell r="D86">
            <v>16906</v>
          </cell>
          <cell r="F86"/>
        </row>
        <row r="87">
          <cell r="D87">
            <v>51462</v>
          </cell>
          <cell r="F87"/>
        </row>
        <row r="88">
          <cell r="D88"/>
          <cell r="F88"/>
        </row>
        <row r="89">
          <cell r="D89"/>
          <cell r="F89"/>
        </row>
        <row r="93">
          <cell r="D93">
            <v>145523</v>
          </cell>
          <cell r="F93"/>
        </row>
        <row r="94">
          <cell r="D94">
            <v>25628</v>
          </cell>
          <cell r="F94"/>
        </row>
        <row r="95">
          <cell r="D95">
            <v>5576</v>
          </cell>
          <cell r="F95"/>
        </row>
        <row r="96">
          <cell r="D96">
            <v>143360</v>
          </cell>
          <cell r="F96"/>
        </row>
        <row r="97">
          <cell r="D97">
            <v>16437</v>
          </cell>
          <cell r="F97"/>
        </row>
        <row r="98">
          <cell r="D98"/>
          <cell r="F98"/>
        </row>
        <row r="102">
          <cell r="D102">
            <v>28681</v>
          </cell>
          <cell r="F102"/>
        </row>
        <row r="103">
          <cell r="D103">
            <v>3545</v>
          </cell>
          <cell r="F103"/>
        </row>
        <row r="104">
          <cell r="D104">
            <v>3121</v>
          </cell>
          <cell r="F104"/>
        </row>
        <row r="105">
          <cell r="D105"/>
          <cell r="F105"/>
        </row>
        <row r="106">
          <cell r="D106">
            <v>685</v>
          </cell>
          <cell r="F106"/>
        </row>
        <row r="107">
          <cell r="D107"/>
          <cell r="F107"/>
        </row>
        <row r="121">
          <cell r="D121">
            <v>54749</v>
          </cell>
          <cell r="F121"/>
        </row>
        <row r="122">
          <cell r="D122">
            <v>16122</v>
          </cell>
          <cell r="F122"/>
        </row>
        <row r="123">
          <cell r="D123">
            <v>15451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33042</v>
          </cell>
          <cell r="F129"/>
        </row>
        <row r="130">
          <cell r="D130">
            <v>6495</v>
          </cell>
          <cell r="F130"/>
        </row>
        <row r="131">
          <cell r="D131">
            <v>253002</v>
          </cell>
          <cell r="F131"/>
        </row>
        <row r="132">
          <cell r="D132">
            <v>47628</v>
          </cell>
          <cell r="F132"/>
        </row>
        <row r="133">
          <cell r="D133">
            <v>30711</v>
          </cell>
          <cell r="F133"/>
        </row>
        <row r="134">
          <cell r="D134">
            <v>39796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6140</v>
          </cell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>
            <v>695</v>
          </cell>
          <cell r="F145"/>
        </row>
        <row r="146">
          <cell r="D146"/>
          <cell r="F146"/>
        </row>
        <row r="150">
          <cell r="D150">
            <v>108147</v>
          </cell>
          <cell r="F150"/>
        </row>
        <row r="151">
          <cell r="D151">
            <v>17728</v>
          </cell>
          <cell r="F151"/>
        </row>
        <row r="152">
          <cell r="D152">
            <v>5083</v>
          </cell>
          <cell r="F152"/>
        </row>
        <row r="153">
          <cell r="D153">
            <v>1826</v>
          </cell>
          <cell r="F153"/>
        </row>
        <row r="154">
          <cell r="D154"/>
          <cell r="F154"/>
        </row>
        <row r="158">
          <cell r="D158">
            <v>716015</v>
          </cell>
          <cell r="F158"/>
        </row>
        <row r="159">
          <cell r="D159">
            <v>108112</v>
          </cell>
          <cell r="F159"/>
        </row>
        <row r="160">
          <cell r="D160">
            <v>356</v>
          </cell>
          <cell r="F160"/>
        </row>
        <row r="161">
          <cell r="D161">
            <v>27547</v>
          </cell>
          <cell r="F161"/>
        </row>
        <row r="162">
          <cell r="D162">
            <v>9660</v>
          </cell>
          <cell r="F162"/>
        </row>
        <row r="163">
          <cell r="D163">
            <v>4130</v>
          </cell>
          <cell r="F163"/>
        </row>
        <row r="164">
          <cell r="D164">
            <v>1424</v>
          </cell>
          <cell r="F164"/>
        </row>
        <row r="165">
          <cell r="D165">
            <v>8300</v>
          </cell>
          <cell r="F165"/>
        </row>
        <row r="166">
          <cell r="D166">
            <v>4944</v>
          </cell>
          <cell r="F166"/>
        </row>
        <row r="167">
          <cell r="D167">
            <v>282969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>
            <v>16438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3351393</v>
          </cell>
        </row>
      </sheetData>
      <sheetData sheetId="8"/>
      <sheetData sheetId="9"/>
      <sheetData sheetId="10">
        <row r="9">
          <cell r="C9">
            <v>20814</v>
          </cell>
          <cell r="D9"/>
          <cell r="E9"/>
          <cell r="F9"/>
        </row>
        <row r="22">
          <cell r="G22">
            <v>60</v>
          </cell>
        </row>
        <row r="24">
          <cell r="G24"/>
        </row>
        <row r="28">
          <cell r="G28">
            <v>21960</v>
          </cell>
        </row>
        <row r="30">
          <cell r="G30">
            <v>0.94781420765027324</v>
          </cell>
        </row>
        <row r="32">
          <cell r="G32">
            <v>0.94781420765027324</v>
          </cell>
        </row>
        <row r="34">
          <cell r="G34">
            <v>1</v>
          </cell>
        </row>
      </sheetData>
      <sheetData sheetId="11">
        <row r="202">
          <cell r="F202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1301990</v>
          </cell>
          <cell r="G10">
            <v>0</v>
          </cell>
        </row>
        <row r="15">
          <cell r="E15">
            <v>54156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0</v>
          </cell>
          <cell r="G40">
            <v>3477</v>
          </cell>
        </row>
      </sheetData>
      <sheetData sheetId="6"/>
      <sheetData sheetId="7">
        <row r="10">
          <cell r="D10">
            <v>20174</v>
          </cell>
          <cell r="F10"/>
        </row>
        <row r="11">
          <cell r="D11"/>
          <cell r="F11"/>
        </row>
        <row r="12">
          <cell r="D12">
            <v>9312</v>
          </cell>
          <cell r="F12"/>
        </row>
        <row r="13">
          <cell r="D13">
            <v>54333</v>
          </cell>
          <cell r="F13">
            <v>-51336</v>
          </cell>
        </row>
        <row r="14">
          <cell r="D14"/>
          <cell r="F14"/>
        </row>
        <row r="15">
          <cell r="D15">
            <v>80760</v>
          </cell>
          <cell r="F15"/>
        </row>
        <row r="16">
          <cell r="D16">
            <v>280614</v>
          </cell>
          <cell r="F16">
            <v>5793.42</v>
          </cell>
        </row>
        <row r="17">
          <cell r="D17"/>
          <cell r="F17"/>
        </row>
        <row r="18">
          <cell r="D18">
            <v>3580</v>
          </cell>
          <cell r="F18"/>
        </row>
        <row r="19">
          <cell r="D19">
            <v>2720</v>
          </cell>
          <cell r="F19"/>
        </row>
        <row r="20">
          <cell r="D20">
            <v>3764</v>
          </cell>
          <cell r="F20">
            <v>-2398.8200000000002</v>
          </cell>
        </row>
        <row r="21">
          <cell r="D21"/>
          <cell r="F21"/>
        </row>
        <row r="22">
          <cell r="D22"/>
          <cell r="F22"/>
        </row>
        <row r="23">
          <cell r="D23">
            <v>4383</v>
          </cell>
          <cell r="F23"/>
        </row>
        <row r="24">
          <cell r="D24"/>
          <cell r="F24"/>
        </row>
        <row r="25">
          <cell r="D25">
            <v>2305</v>
          </cell>
          <cell r="F25">
            <v>-611</v>
          </cell>
        </row>
        <row r="26">
          <cell r="D26">
            <v>65692</v>
          </cell>
          <cell r="F26"/>
        </row>
        <row r="27">
          <cell r="D27"/>
          <cell r="F27"/>
        </row>
        <row r="28">
          <cell r="D28"/>
          <cell r="F28">
            <v>0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13585</v>
          </cell>
          <cell r="F31"/>
        </row>
        <row r="32">
          <cell r="D32"/>
          <cell r="F32"/>
        </row>
        <row r="33">
          <cell r="D33"/>
          <cell r="F33">
            <v>0</v>
          </cell>
        </row>
        <row r="34">
          <cell r="D34"/>
          <cell r="F34"/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260</v>
          </cell>
          <cell r="F39"/>
        </row>
        <row r="40">
          <cell r="D40"/>
          <cell r="F40"/>
        </row>
        <row r="41">
          <cell r="D41">
            <v>1569</v>
          </cell>
          <cell r="F41"/>
        </row>
        <row r="42">
          <cell r="D42"/>
          <cell r="F42"/>
        </row>
        <row r="43">
          <cell r="D43">
            <v>1152</v>
          </cell>
          <cell r="F43"/>
        </row>
        <row r="44">
          <cell r="D44"/>
          <cell r="F44"/>
        </row>
        <row r="45">
          <cell r="D45"/>
          <cell r="F45"/>
        </row>
        <row r="57">
          <cell r="D57">
            <v>4982</v>
          </cell>
          <cell r="F57"/>
        </row>
        <row r="58">
          <cell r="D58">
            <v>20374</v>
          </cell>
          <cell r="F58"/>
        </row>
        <row r="59">
          <cell r="D59">
            <v>45798</v>
          </cell>
          <cell r="F59">
            <v>-3883.9399999999996</v>
          </cell>
        </row>
        <row r="60">
          <cell r="D60"/>
          <cell r="F60"/>
        </row>
        <row r="61">
          <cell r="D61">
            <v>3103</v>
          </cell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7684</v>
          </cell>
          <cell r="F64"/>
        </row>
        <row r="65">
          <cell r="D65">
            <v>1116</v>
          </cell>
          <cell r="F65"/>
        </row>
        <row r="66">
          <cell r="D66"/>
          <cell r="F66"/>
        </row>
        <row r="67">
          <cell r="D67">
            <v>3600</v>
          </cell>
          <cell r="F67"/>
        </row>
        <row r="68">
          <cell r="D68"/>
          <cell r="F68"/>
        </row>
        <row r="69">
          <cell r="D69">
            <v>305</v>
          </cell>
          <cell r="F69"/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12450</v>
          </cell>
          <cell r="F78"/>
        </row>
        <row r="79">
          <cell r="D79"/>
          <cell r="F79">
            <v>1265</v>
          </cell>
        </row>
        <row r="80">
          <cell r="D80">
            <v>287</v>
          </cell>
          <cell r="F80"/>
        </row>
        <row r="81">
          <cell r="D81"/>
          <cell r="F81"/>
        </row>
        <row r="82">
          <cell r="D82">
            <v>206</v>
          </cell>
          <cell r="F82"/>
        </row>
        <row r="83">
          <cell r="D83">
            <v>6714</v>
          </cell>
          <cell r="F83"/>
        </row>
        <row r="84">
          <cell r="D84">
            <v>371</v>
          </cell>
          <cell r="F84"/>
        </row>
        <row r="85">
          <cell r="D85">
            <v>9805</v>
          </cell>
          <cell r="F85"/>
        </row>
        <row r="86">
          <cell r="D86"/>
          <cell r="F86"/>
        </row>
        <row r="87">
          <cell r="D87">
            <v>25941</v>
          </cell>
          <cell r="F87"/>
        </row>
        <row r="88">
          <cell r="D88"/>
          <cell r="F88"/>
        </row>
        <row r="89">
          <cell r="D89">
            <v>8722</v>
          </cell>
          <cell r="F89"/>
        </row>
        <row r="93">
          <cell r="D93">
            <v>45043</v>
          </cell>
          <cell r="F93"/>
        </row>
        <row r="94">
          <cell r="D94"/>
          <cell r="F94">
            <v>4578</v>
          </cell>
        </row>
        <row r="95">
          <cell r="D95">
            <v>2400</v>
          </cell>
          <cell r="F95"/>
        </row>
        <row r="96">
          <cell r="D96">
            <v>53155</v>
          </cell>
          <cell r="F96"/>
        </row>
        <row r="97">
          <cell r="D97">
            <v>6879</v>
          </cell>
          <cell r="F97"/>
        </row>
        <row r="98">
          <cell r="D98">
            <v>1008</v>
          </cell>
          <cell r="F98"/>
        </row>
        <row r="102">
          <cell r="D102">
            <v>29380</v>
          </cell>
          <cell r="F102"/>
        </row>
        <row r="103">
          <cell r="D103"/>
          <cell r="F103">
            <v>2986</v>
          </cell>
        </row>
        <row r="104">
          <cell r="D104"/>
          <cell r="F104"/>
        </row>
        <row r="105">
          <cell r="D105"/>
          <cell r="F105"/>
        </row>
        <row r="106">
          <cell r="D106">
            <v>1336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6361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>
            <v>36063</v>
          </cell>
          <cell r="F129"/>
        </row>
        <row r="130">
          <cell r="D130"/>
          <cell r="F130">
            <v>3665</v>
          </cell>
        </row>
        <row r="131">
          <cell r="D131">
            <v>32907</v>
          </cell>
          <cell r="F131"/>
        </row>
        <row r="132">
          <cell r="D132"/>
          <cell r="F132">
            <v>3345</v>
          </cell>
        </row>
        <row r="133">
          <cell r="D133"/>
          <cell r="F133"/>
        </row>
        <row r="134">
          <cell r="D134">
            <v>6079</v>
          </cell>
          <cell r="F134"/>
        </row>
        <row r="135">
          <cell r="D135"/>
          <cell r="F135"/>
        </row>
        <row r="136">
          <cell r="D136"/>
          <cell r="F136"/>
        </row>
        <row r="137">
          <cell r="D137">
            <v>9209</v>
          </cell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/>
        </row>
        <row r="151">
          <cell r="D151"/>
          <cell r="F151"/>
        </row>
        <row r="152">
          <cell r="D152"/>
          <cell r="F152"/>
        </row>
        <row r="153">
          <cell r="D153"/>
          <cell r="F153"/>
        </row>
        <row r="154">
          <cell r="D154">
            <v>1053</v>
          </cell>
          <cell r="F154"/>
        </row>
        <row r="158">
          <cell r="D158">
            <v>349240</v>
          </cell>
          <cell r="F158"/>
        </row>
        <row r="159">
          <cell r="D159"/>
          <cell r="F159">
            <v>35497</v>
          </cell>
        </row>
        <row r="160">
          <cell r="D160"/>
          <cell r="F160"/>
        </row>
        <row r="161">
          <cell r="D161"/>
          <cell r="F161"/>
        </row>
        <row r="162">
          <cell r="D162">
            <v>1170</v>
          </cell>
          <cell r="F162"/>
        </row>
        <row r="163">
          <cell r="D163">
            <v>293</v>
          </cell>
          <cell r="F163"/>
        </row>
        <row r="164">
          <cell r="D164"/>
          <cell r="F164"/>
        </row>
        <row r="165">
          <cell r="D165">
            <v>756</v>
          </cell>
          <cell r="F165"/>
        </row>
        <row r="166">
          <cell r="D166">
            <v>5294</v>
          </cell>
          <cell r="F166"/>
        </row>
        <row r="167">
          <cell r="D167">
            <v>151073</v>
          </cell>
          <cell r="F167"/>
        </row>
        <row r="168">
          <cell r="D168"/>
          <cell r="F168"/>
        </row>
        <row r="169">
          <cell r="D169">
            <v>62</v>
          </cell>
          <cell r="F169"/>
        </row>
        <row r="170">
          <cell r="D170">
            <v>2776</v>
          </cell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1607</v>
          </cell>
          <cell r="F189"/>
        </row>
        <row r="190">
          <cell r="D190"/>
          <cell r="F190"/>
        </row>
        <row r="191">
          <cell r="D191">
            <v>3720</v>
          </cell>
          <cell r="F191"/>
        </row>
        <row r="192">
          <cell r="D192">
            <v>3170</v>
          </cell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4">
          <cell r="D204">
            <v>1445695</v>
          </cell>
        </row>
      </sheetData>
      <sheetData sheetId="8"/>
      <sheetData sheetId="9"/>
      <sheetData sheetId="10">
        <row r="9">
          <cell r="C9">
            <v>7519</v>
          </cell>
          <cell r="D9">
            <v>246</v>
          </cell>
          <cell r="E9"/>
          <cell r="F9"/>
        </row>
        <row r="22">
          <cell r="G22">
            <v>66</v>
          </cell>
        </row>
        <row r="24">
          <cell r="G24">
            <v>66</v>
          </cell>
        </row>
        <row r="28">
          <cell r="G28">
            <v>8118</v>
          </cell>
        </row>
        <row r="30">
          <cell r="G30">
            <v>0.95651638334565159</v>
          </cell>
        </row>
        <row r="32">
          <cell r="G32">
            <v>0.95651638334565159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3104052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12881</v>
          </cell>
          <cell r="G40">
            <v>0</v>
          </cell>
        </row>
      </sheetData>
      <sheetData sheetId="6"/>
      <sheetData sheetId="7">
        <row r="10">
          <cell r="D10">
            <v>50603</v>
          </cell>
          <cell r="F10">
            <v>8592</v>
          </cell>
        </row>
        <row r="11">
          <cell r="D11"/>
          <cell r="F11"/>
        </row>
        <row r="12">
          <cell r="D12">
            <v>36948</v>
          </cell>
          <cell r="F12">
            <v>22114</v>
          </cell>
        </row>
        <row r="13">
          <cell r="D13">
            <v>326977</v>
          </cell>
          <cell r="F13">
            <v>-246941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4048</v>
          </cell>
          <cell r="F17">
            <v>510</v>
          </cell>
        </row>
        <row r="18">
          <cell r="D18">
            <v>6</v>
          </cell>
          <cell r="F18">
            <v>2861</v>
          </cell>
        </row>
        <row r="19">
          <cell r="D19">
            <v>6339</v>
          </cell>
          <cell r="F19">
            <v>570</v>
          </cell>
        </row>
        <row r="20">
          <cell r="D20">
            <v>1564</v>
          </cell>
          <cell r="F20">
            <v>3021</v>
          </cell>
        </row>
        <row r="21">
          <cell r="D21">
            <v>1168</v>
          </cell>
          <cell r="F21">
            <v>6762</v>
          </cell>
        </row>
        <row r="22">
          <cell r="D22"/>
          <cell r="F22"/>
        </row>
        <row r="23">
          <cell r="D23">
            <v>-4</v>
          </cell>
          <cell r="F23">
            <v>4103</v>
          </cell>
        </row>
        <row r="24">
          <cell r="D24">
            <v>2881</v>
          </cell>
          <cell r="F24">
            <v>8625</v>
          </cell>
        </row>
        <row r="25">
          <cell r="D25"/>
          <cell r="F25"/>
        </row>
        <row r="26">
          <cell r="D26">
            <v>135723</v>
          </cell>
          <cell r="F26"/>
        </row>
        <row r="27">
          <cell r="D27">
            <v>2333</v>
          </cell>
          <cell r="F27">
            <v>-2333</v>
          </cell>
        </row>
        <row r="28">
          <cell r="D28">
            <v>5831</v>
          </cell>
          <cell r="F28">
            <v>-5831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-19</v>
          </cell>
          <cell r="F31">
            <v>14347</v>
          </cell>
        </row>
        <row r="32">
          <cell r="D32">
            <v>-1329</v>
          </cell>
          <cell r="F32">
            <v>31682</v>
          </cell>
        </row>
        <row r="33">
          <cell r="D33"/>
          <cell r="F33">
            <v>0</v>
          </cell>
        </row>
        <row r="34">
          <cell r="D34">
            <v>73</v>
          </cell>
          <cell r="F34">
            <v>6581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>
            <v>6062</v>
          </cell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1382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5892</v>
          </cell>
          <cell r="F45">
            <v>-9624</v>
          </cell>
        </row>
        <row r="57">
          <cell r="D57">
            <v>164716</v>
          </cell>
          <cell r="F57">
            <v>-164716</v>
          </cell>
        </row>
        <row r="58">
          <cell r="D58">
            <v>2309</v>
          </cell>
          <cell r="F58">
            <v>26410</v>
          </cell>
        </row>
        <row r="59">
          <cell r="D59"/>
          <cell r="F59">
            <v>64104</v>
          </cell>
        </row>
        <row r="60">
          <cell r="D60">
            <v>4930</v>
          </cell>
          <cell r="F60">
            <v>1260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9696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6387</v>
          </cell>
          <cell r="F69"/>
        </row>
        <row r="70">
          <cell r="D70"/>
          <cell r="F70"/>
        </row>
        <row r="71">
          <cell r="D71">
            <v>1071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115779</v>
          </cell>
          <cell r="F78"/>
        </row>
        <row r="79">
          <cell r="D79"/>
          <cell r="F79">
            <v>28692</v>
          </cell>
        </row>
        <row r="80">
          <cell r="D80">
            <v>23521</v>
          </cell>
          <cell r="F80">
            <v>120</v>
          </cell>
        </row>
        <row r="81">
          <cell r="D81"/>
          <cell r="F81"/>
        </row>
        <row r="82">
          <cell r="D82"/>
          <cell r="F82"/>
        </row>
        <row r="83">
          <cell r="D83">
            <v>17644</v>
          </cell>
          <cell r="F83">
            <v>3936</v>
          </cell>
        </row>
        <row r="84">
          <cell r="D84">
            <v>4114</v>
          </cell>
          <cell r="F84">
            <v>452</v>
          </cell>
        </row>
        <row r="85">
          <cell r="D85"/>
          <cell r="F85"/>
        </row>
        <row r="86">
          <cell r="D86">
            <v>24448</v>
          </cell>
          <cell r="F86">
            <v>5266</v>
          </cell>
        </row>
        <row r="87">
          <cell r="D87">
            <v>26878</v>
          </cell>
          <cell r="F87">
            <v>1215</v>
          </cell>
        </row>
        <row r="88">
          <cell r="D88"/>
          <cell r="F88"/>
        </row>
        <row r="89">
          <cell r="D89"/>
          <cell r="F89"/>
        </row>
        <row r="93">
          <cell r="D93">
            <v>141220</v>
          </cell>
          <cell r="F93"/>
        </row>
        <row r="94">
          <cell r="D94"/>
          <cell r="F94">
            <v>34997</v>
          </cell>
        </row>
        <row r="95">
          <cell r="D95">
            <v>2188</v>
          </cell>
          <cell r="F95"/>
        </row>
        <row r="96">
          <cell r="D96">
            <v>123384</v>
          </cell>
          <cell r="F96">
            <v>9</v>
          </cell>
        </row>
        <row r="97">
          <cell r="D97">
            <v>17007</v>
          </cell>
          <cell r="F97">
            <v>104</v>
          </cell>
        </row>
        <row r="98">
          <cell r="D98"/>
          <cell r="F98"/>
        </row>
        <row r="102">
          <cell r="D102">
            <v>61347</v>
          </cell>
          <cell r="F102"/>
        </row>
        <row r="103">
          <cell r="D103"/>
          <cell r="F103">
            <v>15203</v>
          </cell>
        </row>
        <row r="104">
          <cell r="D104">
            <v>228</v>
          </cell>
          <cell r="F104"/>
        </row>
        <row r="105">
          <cell r="D105"/>
          <cell r="F105"/>
        </row>
        <row r="106">
          <cell r="D106">
            <v>130</v>
          </cell>
          <cell r="F106"/>
        </row>
        <row r="107">
          <cell r="D107"/>
          <cell r="F107"/>
        </row>
        <row r="121">
          <cell r="D121">
            <v>62624</v>
          </cell>
          <cell r="F121"/>
        </row>
        <row r="122">
          <cell r="D122"/>
          <cell r="F122">
            <v>15519</v>
          </cell>
        </row>
        <row r="123">
          <cell r="D123">
            <v>16813</v>
          </cell>
          <cell r="F123"/>
        </row>
        <row r="124">
          <cell r="D124">
            <v>975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819340</v>
          </cell>
          <cell r="F131"/>
        </row>
        <row r="132">
          <cell r="D132"/>
          <cell r="F132">
            <v>203046</v>
          </cell>
        </row>
        <row r="133">
          <cell r="D133"/>
          <cell r="F133"/>
        </row>
        <row r="134">
          <cell r="D134">
            <v>20362</v>
          </cell>
          <cell r="F134">
            <v>47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>
            <v>1499</v>
          </cell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31571</v>
          </cell>
          <cell r="F150">
            <v>233</v>
          </cell>
        </row>
        <row r="151">
          <cell r="D151"/>
          <cell r="F151">
            <v>7824</v>
          </cell>
        </row>
        <row r="152">
          <cell r="D152">
            <v>7107</v>
          </cell>
          <cell r="F152">
            <v>853</v>
          </cell>
        </row>
        <row r="153">
          <cell r="D153">
            <v>124</v>
          </cell>
          <cell r="F153">
            <v>123</v>
          </cell>
        </row>
        <row r="154">
          <cell r="D154"/>
          <cell r="F154"/>
        </row>
        <row r="158">
          <cell r="D158"/>
          <cell r="F158"/>
        </row>
        <row r="159">
          <cell r="D159"/>
          <cell r="F159"/>
        </row>
        <row r="160">
          <cell r="D160">
            <v>5812</v>
          </cell>
          <cell r="F160">
            <v>174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>
            <v>-501</v>
          </cell>
          <cell r="F164"/>
        </row>
        <row r="165">
          <cell r="D165">
            <v>1760</v>
          </cell>
          <cell r="F165"/>
        </row>
        <row r="166">
          <cell r="D166"/>
          <cell r="F166"/>
        </row>
        <row r="167">
          <cell r="D167">
            <v>288887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>
            <v>30</v>
          </cell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7100</v>
          </cell>
          <cell r="F189"/>
        </row>
        <row r="190">
          <cell r="D190">
            <v>175</v>
          </cell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>
            <v>408</v>
          </cell>
          <cell r="F197"/>
        </row>
        <row r="198">
          <cell r="D198"/>
          <cell r="F198"/>
        </row>
        <row r="199">
          <cell r="D199">
            <v>511</v>
          </cell>
          <cell r="F199"/>
        </row>
        <row r="204">
          <cell r="D204">
            <v>2598072</v>
          </cell>
        </row>
      </sheetData>
      <sheetData sheetId="8"/>
      <sheetData sheetId="9"/>
      <sheetData sheetId="10">
        <row r="9">
          <cell r="C9">
            <v>16213</v>
          </cell>
          <cell r="D9"/>
          <cell r="E9"/>
          <cell r="F9"/>
        </row>
        <row r="22">
          <cell r="G22">
            <v>45</v>
          </cell>
        </row>
        <row r="24">
          <cell r="G24">
            <v>45</v>
          </cell>
        </row>
        <row r="28">
          <cell r="G28">
            <v>16470</v>
          </cell>
        </row>
        <row r="30">
          <cell r="G30">
            <v>0.98439587128111716</v>
          </cell>
        </row>
        <row r="32">
          <cell r="G32">
            <v>0.98439587128111716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890646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2076</v>
          </cell>
          <cell r="G40">
            <v>0</v>
          </cell>
        </row>
      </sheetData>
      <sheetData sheetId="6"/>
      <sheetData sheetId="7">
        <row r="10">
          <cell r="D10">
            <v>29048</v>
          </cell>
          <cell r="F10">
            <v>3152</v>
          </cell>
        </row>
        <row r="11">
          <cell r="D11"/>
          <cell r="F11"/>
        </row>
        <row r="12">
          <cell r="D12">
            <v>40683</v>
          </cell>
          <cell r="F12">
            <v>8113</v>
          </cell>
        </row>
        <row r="13">
          <cell r="D13">
            <v>96401</v>
          </cell>
          <cell r="F13">
            <v>-60249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638</v>
          </cell>
          <cell r="F17">
            <v>187</v>
          </cell>
        </row>
        <row r="18">
          <cell r="D18">
            <v>3476</v>
          </cell>
          <cell r="F18">
            <v>1049</v>
          </cell>
        </row>
        <row r="19">
          <cell r="D19">
            <v>2227</v>
          </cell>
          <cell r="F19">
            <v>209</v>
          </cell>
        </row>
        <row r="20">
          <cell r="D20">
            <v>1086</v>
          </cell>
          <cell r="F20">
            <v>1108</v>
          </cell>
        </row>
        <row r="21">
          <cell r="D21"/>
          <cell r="F21">
            <v>2481</v>
          </cell>
        </row>
        <row r="22">
          <cell r="D22"/>
          <cell r="F22"/>
        </row>
        <row r="23">
          <cell r="D23">
            <v>250</v>
          </cell>
          <cell r="F23">
            <v>1505</v>
          </cell>
        </row>
        <row r="24">
          <cell r="D24">
            <v>2239</v>
          </cell>
          <cell r="F24">
            <v>3164</v>
          </cell>
        </row>
        <row r="25">
          <cell r="D25"/>
          <cell r="F25"/>
        </row>
        <row r="26">
          <cell r="D26">
            <v>46428</v>
          </cell>
          <cell r="F26"/>
        </row>
        <row r="27">
          <cell r="D27">
            <v>877</v>
          </cell>
          <cell r="F27">
            <v>205</v>
          </cell>
        </row>
        <row r="28">
          <cell r="D28">
            <v>-1775</v>
          </cell>
          <cell r="F28">
            <v>1775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-5</v>
          </cell>
          <cell r="F31">
            <v>5264</v>
          </cell>
        </row>
        <row r="32">
          <cell r="D32"/>
          <cell r="F32">
            <v>11624</v>
          </cell>
        </row>
        <row r="33">
          <cell r="D33"/>
          <cell r="F33">
            <v>0</v>
          </cell>
        </row>
        <row r="34">
          <cell r="D34"/>
          <cell r="F34">
            <v>2414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383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2279</v>
          </cell>
          <cell r="F45">
            <v>-2077</v>
          </cell>
        </row>
        <row r="57">
          <cell r="D57">
            <v>120242</v>
          </cell>
          <cell r="F57"/>
        </row>
        <row r="58">
          <cell r="D58">
            <v>904</v>
          </cell>
          <cell r="F58"/>
        </row>
        <row r="59">
          <cell r="D59"/>
          <cell r="F59"/>
        </row>
        <row r="60">
          <cell r="D60">
            <v>5144</v>
          </cell>
          <cell r="F60">
            <v>462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1875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642</v>
          </cell>
          <cell r="F69"/>
        </row>
        <row r="70">
          <cell r="D70"/>
          <cell r="F70"/>
        </row>
        <row r="71">
          <cell r="D71">
            <v>166</v>
          </cell>
          <cell r="F71"/>
        </row>
        <row r="72">
          <cell r="D72">
            <v>1200</v>
          </cell>
          <cell r="F72"/>
        </row>
        <row r="73">
          <cell r="D73"/>
          <cell r="F73"/>
        </row>
        <row r="78">
          <cell r="D78">
            <v>44000</v>
          </cell>
          <cell r="F78"/>
        </row>
        <row r="79">
          <cell r="D79"/>
          <cell r="F79">
            <v>9307</v>
          </cell>
        </row>
        <row r="80">
          <cell r="D80">
            <v>1140</v>
          </cell>
          <cell r="F80">
            <v>44</v>
          </cell>
        </row>
        <row r="81">
          <cell r="D81"/>
          <cell r="F81"/>
        </row>
        <row r="82">
          <cell r="D82"/>
          <cell r="F82"/>
        </row>
        <row r="83">
          <cell r="D83">
            <v>10622</v>
          </cell>
          <cell r="F83">
            <v>1444</v>
          </cell>
        </row>
        <row r="84">
          <cell r="D84">
            <v>200</v>
          </cell>
          <cell r="F84">
            <v>166</v>
          </cell>
        </row>
        <row r="85">
          <cell r="D85"/>
          <cell r="F85"/>
        </row>
        <row r="86">
          <cell r="D86">
            <v>9209</v>
          </cell>
          <cell r="F86">
            <v>1932</v>
          </cell>
        </row>
        <row r="87">
          <cell r="D87">
            <v>14050</v>
          </cell>
          <cell r="F87">
            <v>446</v>
          </cell>
        </row>
        <row r="88">
          <cell r="D88"/>
          <cell r="F88"/>
        </row>
        <row r="89">
          <cell r="D89"/>
          <cell r="F89"/>
        </row>
        <row r="93">
          <cell r="D93">
            <v>1536</v>
          </cell>
          <cell r="F93"/>
        </row>
        <row r="94">
          <cell r="D94"/>
          <cell r="F94">
            <v>325</v>
          </cell>
        </row>
        <row r="95">
          <cell r="D95">
            <v>770</v>
          </cell>
          <cell r="F95"/>
        </row>
        <row r="96">
          <cell r="D96">
            <v>46307</v>
          </cell>
          <cell r="F96">
            <v>3</v>
          </cell>
        </row>
        <row r="97">
          <cell r="D97">
            <v>5592</v>
          </cell>
          <cell r="F97">
            <v>38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997</v>
          </cell>
          <cell r="F104"/>
        </row>
        <row r="105">
          <cell r="D105"/>
          <cell r="F105"/>
        </row>
        <row r="106">
          <cell r="D106">
            <v>408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4444</v>
          </cell>
          <cell r="F123"/>
        </row>
        <row r="124">
          <cell r="D124">
            <v>4925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316144</v>
          </cell>
          <cell r="F131"/>
        </row>
        <row r="132">
          <cell r="D132"/>
          <cell r="F132">
            <v>66869</v>
          </cell>
        </row>
        <row r="133">
          <cell r="D133"/>
          <cell r="F133"/>
        </row>
        <row r="134">
          <cell r="D134">
            <v>5367</v>
          </cell>
          <cell r="F134">
            <v>17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>
            <v>24356</v>
          </cell>
          <cell r="F150">
            <v>86</v>
          </cell>
        </row>
        <row r="151">
          <cell r="D151"/>
          <cell r="F151">
            <v>5152</v>
          </cell>
        </row>
        <row r="152">
          <cell r="D152">
            <v>4010</v>
          </cell>
          <cell r="F152">
            <v>313</v>
          </cell>
        </row>
        <row r="153">
          <cell r="D153">
            <v>124</v>
          </cell>
          <cell r="F153">
            <v>45</v>
          </cell>
        </row>
        <row r="154">
          <cell r="D154"/>
          <cell r="F154"/>
        </row>
        <row r="158">
          <cell r="D158"/>
          <cell r="F158"/>
        </row>
        <row r="159">
          <cell r="D159"/>
          <cell r="F159"/>
        </row>
        <row r="160">
          <cell r="D160">
            <v>903</v>
          </cell>
          <cell r="F160">
            <v>64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>
            <v>1017</v>
          </cell>
          <cell r="F164"/>
        </row>
        <row r="165">
          <cell r="D165">
            <v>825</v>
          </cell>
          <cell r="F165"/>
        </row>
        <row r="166">
          <cell r="D166"/>
          <cell r="F166"/>
        </row>
        <row r="167">
          <cell r="D167">
            <v>98674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2966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210</v>
          </cell>
          <cell r="F199"/>
        </row>
        <row r="204">
          <cell r="D204">
            <v>953204</v>
          </cell>
        </row>
      </sheetData>
      <sheetData sheetId="8"/>
      <sheetData sheetId="9"/>
      <sheetData sheetId="10">
        <row r="9">
          <cell r="C9">
            <v>5488</v>
          </cell>
          <cell r="D9"/>
          <cell r="E9"/>
          <cell r="F9"/>
        </row>
        <row r="22">
          <cell r="G22">
            <v>15</v>
          </cell>
        </row>
        <row r="24">
          <cell r="G24">
            <v>15</v>
          </cell>
        </row>
        <row r="28">
          <cell r="G28">
            <v>5490</v>
          </cell>
        </row>
        <row r="30">
          <cell r="G30">
            <v>0.99963570127504553</v>
          </cell>
        </row>
        <row r="32">
          <cell r="G32">
            <v>0.99963570127504553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968670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750</v>
          </cell>
          <cell r="G40">
            <v>0</v>
          </cell>
        </row>
      </sheetData>
      <sheetData sheetId="6"/>
      <sheetData sheetId="7">
        <row r="10">
          <cell r="D10">
            <v>70132</v>
          </cell>
          <cell r="F10">
            <v>2887</v>
          </cell>
        </row>
        <row r="11">
          <cell r="D11"/>
          <cell r="F11"/>
        </row>
        <row r="12">
          <cell r="D12">
            <v>33000</v>
          </cell>
          <cell r="F12">
            <v>7430</v>
          </cell>
        </row>
        <row r="13">
          <cell r="D13">
            <v>48337</v>
          </cell>
          <cell r="F13">
            <v>-16309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394</v>
          </cell>
          <cell r="F17">
            <v>171</v>
          </cell>
        </row>
        <row r="18">
          <cell r="D18">
            <v>3702</v>
          </cell>
          <cell r="F18">
            <v>961</v>
          </cell>
        </row>
        <row r="19">
          <cell r="D19">
            <v>2674</v>
          </cell>
          <cell r="F19">
            <v>192</v>
          </cell>
        </row>
        <row r="20">
          <cell r="D20">
            <v>520</v>
          </cell>
          <cell r="F20">
            <v>1015</v>
          </cell>
        </row>
        <row r="21">
          <cell r="D21">
            <v>72</v>
          </cell>
          <cell r="F21">
            <v>2272</v>
          </cell>
        </row>
        <row r="22">
          <cell r="D22"/>
          <cell r="F22"/>
        </row>
        <row r="23">
          <cell r="D23">
            <v>125</v>
          </cell>
          <cell r="F23">
            <v>1379</v>
          </cell>
        </row>
        <row r="24">
          <cell r="D24">
            <v>1967</v>
          </cell>
          <cell r="F24">
            <v>2898</v>
          </cell>
        </row>
        <row r="25">
          <cell r="D25"/>
          <cell r="F25"/>
        </row>
        <row r="26">
          <cell r="D26">
            <v>49381</v>
          </cell>
          <cell r="F26"/>
        </row>
        <row r="27">
          <cell r="D27"/>
          <cell r="F27">
            <v>188</v>
          </cell>
        </row>
        <row r="28">
          <cell r="D28">
            <v>-2028</v>
          </cell>
          <cell r="F28">
            <v>2028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-22</v>
          </cell>
          <cell r="F31">
            <v>4821</v>
          </cell>
        </row>
        <row r="32">
          <cell r="D32">
            <v>-25</v>
          </cell>
          <cell r="F32">
            <v>10645</v>
          </cell>
        </row>
        <row r="33">
          <cell r="D33"/>
          <cell r="F33">
            <v>0</v>
          </cell>
        </row>
        <row r="34">
          <cell r="D34"/>
          <cell r="F34">
            <v>2211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274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3150</v>
          </cell>
          <cell r="F45">
            <v>-750</v>
          </cell>
        </row>
        <row r="57">
          <cell r="D57">
            <v>109942</v>
          </cell>
          <cell r="F57">
            <v>-109942</v>
          </cell>
        </row>
        <row r="58">
          <cell r="D58">
            <v>-119</v>
          </cell>
          <cell r="F58">
            <v>11923</v>
          </cell>
        </row>
        <row r="59">
          <cell r="D59"/>
          <cell r="F59">
            <v>44211</v>
          </cell>
        </row>
        <row r="60">
          <cell r="D60">
            <v>6178</v>
          </cell>
          <cell r="F60">
            <v>423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784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338</v>
          </cell>
          <cell r="F69">
            <v>873</v>
          </cell>
        </row>
        <row r="70">
          <cell r="D70"/>
          <cell r="F70"/>
        </row>
        <row r="71">
          <cell r="D71"/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20000</v>
          </cell>
          <cell r="F78"/>
        </row>
        <row r="79">
          <cell r="D79"/>
          <cell r="F79">
            <v>2409</v>
          </cell>
        </row>
        <row r="80">
          <cell r="D80">
            <v>1835</v>
          </cell>
          <cell r="F80">
            <v>40</v>
          </cell>
        </row>
        <row r="81">
          <cell r="D81"/>
          <cell r="F81"/>
        </row>
        <row r="82">
          <cell r="D82"/>
          <cell r="F82"/>
        </row>
        <row r="83">
          <cell r="D83">
            <v>12788</v>
          </cell>
          <cell r="F83">
            <v>1323</v>
          </cell>
        </row>
        <row r="84">
          <cell r="D84">
            <v>16236</v>
          </cell>
          <cell r="F84">
            <v>152</v>
          </cell>
        </row>
        <row r="85">
          <cell r="D85"/>
          <cell r="F85"/>
        </row>
        <row r="86">
          <cell r="D86">
            <v>14335</v>
          </cell>
          <cell r="F86">
            <v>1769</v>
          </cell>
        </row>
        <row r="87">
          <cell r="D87">
            <v>27577</v>
          </cell>
          <cell r="F87">
            <v>408</v>
          </cell>
        </row>
        <row r="88">
          <cell r="D88"/>
          <cell r="F88"/>
        </row>
        <row r="89">
          <cell r="D89"/>
          <cell r="F89"/>
        </row>
        <row r="93">
          <cell r="D93">
            <v>3000</v>
          </cell>
          <cell r="F93"/>
        </row>
        <row r="94">
          <cell r="D94"/>
          <cell r="F94">
            <v>361</v>
          </cell>
        </row>
        <row r="95">
          <cell r="D95">
            <v>770</v>
          </cell>
          <cell r="F95"/>
        </row>
        <row r="96">
          <cell r="D96">
            <v>53742</v>
          </cell>
          <cell r="F96">
            <v>3</v>
          </cell>
        </row>
        <row r="97">
          <cell r="D97">
            <v>5340</v>
          </cell>
          <cell r="F97">
            <v>35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87</v>
          </cell>
          <cell r="F104"/>
        </row>
        <row r="105">
          <cell r="D105"/>
          <cell r="F105"/>
        </row>
        <row r="106">
          <cell r="D106">
            <v>147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13624</v>
          </cell>
          <cell r="F123"/>
        </row>
        <row r="124">
          <cell r="D124">
            <v>350</v>
          </cell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275089</v>
          </cell>
          <cell r="F131"/>
        </row>
        <row r="132">
          <cell r="D132"/>
          <cell r="F132">
            <v>33141</v>
          </cell>
        </row>
        <row r="133">
          <cell r="D133"/>
          <cell r="F133"/>
        </row>
        <row r="134">
          <cell r="D134">
            <v>3465</v>
          </cell>
          <cell r="F134">
            <v>16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>
            <v>78</v>
          </cell>
        </row>
        <row r="151">
          <cell r="D151"/>
          <cell r="F151"/>
        </row>
        <row r="152">
          <cell r="D152">
            <v>2271</v>
          </cell>
          <cell r="F152">
            <v>286</v>
          </cell>
        </row>
        <row r="153">
          <cell r="D153">
            <v>124</v>
          </cell>
          <cell r="F153">
            <v>41</v>
          </cell>
        </row>
        <row r="154">
          <cell r="D154"/>
          <cell r="F154"/>
        </row>
        <row r="158">
          <cell r="D158"/>
          <cell r="F158"/>
        </row>
        <row r="159">
          <cell r="D159"/>
          <cell r="F159"/>
        </row>
        <row r="160">
          <cell r="D160">
            <v>1000</v>
          </cell>
          <cell r="F160">
            <v>58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>
            <v>1375</v>
          </cell>
          <cell r="F165"/>
        </row>
        <row r="166">
          <cell r="D166"/>
          <cell r="F166"/>
        </row>
        <row r="167">
          <cell r="D167">
            <v>87739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3066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217</v>
          </cell>
          <cell r="F199"/>
        </row>
        <row r="204">
          <cell r="D204">
            <v>872953</v>
          </cell>
        </row>
      </sheetData>
      <sheetData sheetId="8"/>
      <sheetData sheetId="9"/>
      <sheetData sheetId="10">
        <row r="9">
          <cell r="C9">
            <v>5854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5856</v>
          </cell>
        </row>
        <row r="30">
          <cell r="G30">
            <v>0.99965846994535523</v>
          </cell>
        </row>
        <row r="32">
          <cell r="G32">
            <v>0.99965846994535523</v>
          </cell>
        </row>
        <row r="34">
          <cell r="G34">
            <v>1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Sch A pg 1"/>
      <sheetName val="Sch A pg 2"/>
      <sheetName val="Sch A pg 3"/>
      <sheetName val="Sch B"/>
      <sheetName val="Sch B-1"/>
      <sheetName val="Sch C"/>
      <sheetName val="Sch C-1"/>
      <sheetName val="Sch C-2"/>
      <sheetName val="Sch D"/>
      <sheetName val="Summary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923864</v>
          </cell>
          <cell r="G10">
            <v>0</v>
          </cell>
        </row>
        <row r="15">
          <cell r="E15">
            <v>0</v>
          </cell>
          <cell r="G15">
            <v>0</v>
          </cell>
        </row>
        <row r="20">
          <cell r="E20">
            <v>0</v>
          </cell>
          <cell r="G20">
            <v>0</v>
          </cell>
        </row>
        <row r="25">
          <cell r="E25">
            <v>0</v>
          </cell>
          <cell r="G25">
            <v>0</v>
          </cell>
        </row>
        <row r="40">
          <cell r="E40">
            <v>675</v>
          </cell>
          <cell r="G40">
            <v>0</v>
          </cell>
        </row>
      </sheetData>
      <sheetData sheetId="6"/>
      <sheetData sheetId="7">
        <row r="10">
          <cell r="D10">
            <v>66082</v>
          </cell>
          <cell r="F10">
            <v>2781</v>
          </cell>
        </row>
        <row r="11">
          <cell r="D11"/>
          <cell r="F11"/>
        </row>
        <row r="12">
          <cell r="D12">
            <v>21600</v>
          </cell>
          <cell r="F12">
            <v>7158</v>
          </cell>
        </row>
        <row r="13">
          <cell r="D13">
            <v>97582</v>
          </cell>
          <cell r="F13">
            <v>-53412</v>
          </cell>
        </row>
        <row r="14">
          <cell r="D14"/>
          <cell r="F14"/>
        </row>
        <row r="15">
          <cell r="D15"/>
          <cell r="F15"/>
        </row>
        <row r="16">
          <cell r="D16"/>
          <cell r="F16"/>
        </row>
        <row r="17">
          <cell r="D17">
            <v>225</v>
          </cell>
          <cell r="F17">
            <v>165</v>
          </cell>
        </row>
        <row r="18">
          <cell r="D18">
            <v>2669</v>
          </cell>
          <cell r="F18">
            <v>926</v>
          </cell>
        </row>
        <row r="19">
          <cell r="D19">
            <v>1274</v>
          </cell>
          <cell r="F19">
            <v>185</v>
          </cell>
        </row>
        <row r="20">
          <cell r="D20">
            <v>650</v>
          </cell>
          <cell r="F20">
            <v>978</v>
          </cell>
        </row>
        <row r="21">
          <cell r="D21"/>
          <cell r="F21">
            <v>2189</v>
          </cell>
        </row>
        <row r="22">
          <cell r="D22"/>
          <cell r="F22"/>
        </row>
        <row r="23">
          <cell r="D23">
            <v>125</v>
          </cell>
          <cell r="F23">
            <v>1328</v>
          </cell>
        </row>
        <row r="24">
          <cell r="D24">
            <v>1743</v>
          </cell>
          <cell r="F24">
            <v>2792</v>
          </cell>
        </row>
        <row r="25">
          <cell r="D25"/>
          <cell r="F25"/>
        </row>
        <row r="26">
          <cell r="D26">
            <v>48958</v>
          </cell>
          <cell r="F26"/>
        </row>
        <row r="27">
          <cell r="D27"/>
          <cell r="F27">
            <v>181</v>
          </cell>
        </row>
        <row r="28">
          <cell r="D28">
            <v>-2028</v>
          </cell>
          <cell r="F28">
            <v>2028</v>
          </cell>
        </row>
        <row r="29">
          <cell r="D29"/>
          <cell r="F29">
            <v>0</v>
          </cell>
        </row>
        <row r="30">
          <cell r="D30"/>
          <cell r="F30">
            <v>0</v>
          </cell>
        </row>
        <row r="31">
          <cell r="D31">
            <v>-13</v>
          </cell>
          <cell r="F31">
            <v>4644</v>
          </cell>
        </row>
        <row r="32">
          <cell r="D32"/>
          <cell r="F32">
            <v>10255</v>
          </cell>
        </row>
        <row r="33">
          <cell r="D33"/>
          <cell r="F33">
            <v>0</v>
          </cell>
        </row>
        <row r="34">
          <cell r="D34"/>
          <cell r="F34">
            <v>2130</v>
          </cell>
        </row>
        <row r="35">
          <cell r="D35"/>
          <cell r="F35">
            <v>0</v>
          </cell>
        </row>
        <row r="36">
          <cell r="D36"/>
          <cell r="F36"/>
        </row>
        <row r="37">
          <cell r="D37"/>
          <cell r="F37"/>
        </row>
        <row r="38">
          <cell r="D38"/>
          <cell r="F38"/>
        </row>
        <row r="39">
          <cell r="D39"/>
          <cell r="F39"/>
        </row>
        <row r="40">
          <cell r="D40"/>
          <cell r="F40"/>
        </row>
        <row r="41">
          <cell r="D41"/>
          <cell r="F41"/>
        </row>
        <row r="42">
          <cell r="D42">
            <v>329</v>
          </cell>
          <cell r="F42"/>
        </row>
        <row r="43">
          <cell r="D43"/>
          <cell r="F43"/>
        </row>
        <row r="44">
          <cell r="D44"/>
          <cell r="F44"/>
        </row>
        <row r="45">
          <cell r="D45">
            <v>2969</v>
          </cell>
          <cell r="F45">
            <v>-675</v>
          </cell>
        </row>
        <row r="57">
          <cell r="D57">
            <v>100100</v>
          </cell>
          <cell r="F57">
            <v>-100100</v>
          </cell>
        </row>
        <row r="58">
          <cell r="D58">
            <v>6666</v>
          </cell>
          <cell r="F58">
            <v>15462</v>
          </cell>
        </row>
        <row r="59">
          <cell r="D59"/>
          <cell r="F59">
            <v>39199</v>
          </cell>
        </row>
        <row r="60">
          <cell r="D60">
            <v>11194</v>
          </cell>
          <cell r="F60">
            <v>408</v>
          </cell>
        </row>
        <row r="61">
          <cell r="D61"/>
          <cell r="F61"/>
        </row>
        <row r="62">
          <cell r="D62"/>
          <cell r="F62"/>
        </row>
        <row r="63">
          <cell r="D63"/>
          <cell r="F63"/>
        </row>
        <row r="64">
          <cell r="D64">
            <v>7545</v>
          </cell>
          <cell r="F64"/>
        </row>
        <row r="65">
          <cell r="D65"/>
          <cell r="F65"/>
        </row>
        <row r="66">
          <cell r="D66"/>
          <cell r="F66"/>
        </row>
        <row r="67">
          <cell r="D67"/>
          <cell r="F67"/>
        </row>
        <row r="68">
          <cell r="D68"/>
          <cell r="F68"/>
        </row>
        <row r="69">
          <cell r="D69">
            <v>24021</v>
          </cell>
          <cell r="F69">
            <v>2449</v>
          </cell>
        </row>
        <row r="70">
          <cell r="D70"/>
          <cell r="F70"/>
        </row>
        <row r="71">
          <cell r="D71">
            <v>708</v>
          </cell>
          <cell r="F71"/>
        </row>
        <row r="72">
          <cell r="D72"/>
          <cell r="F72"/>
        </row>
        <row r="73">
          <cell r="D73"/>
          <cell r="F73"/>
        </row>
        <row r="78">
          <cell r="D78">
            <v>12300</v>
          </cell>
          <cell r="F78"/>
        </row>
        <row r="79">
          <cell r="D79"/>
          <cell r="F79">
            <v>3547</v>
          </cell>
        </row>
        <row r="80">
          <cell r="D80">
            <v>689</v>
          </cell>
          <cell r="F80">
            <v>39</v>
          </cell>
        </row>
        <row r="81">
          <cell r="D81"/>
          <cell r="F81"/>
        </row>
        <row r="82">
          <cell r="D82"/>
          <cell r="F82"/>
        </row>
        <row r="83">
          <cell r="D83">
            <v>9803</v>
          </cell>
          <cell r="F83">
            <v>1274</v>
          </cell>
        </row>
        <row r="84">
          <cell r="D84">
            <v>1355</v>
          </cell>
          <cell r="F84">
            <v>146</v>
          </cell>
        </row>
        <row r="85">
          <cell r="D85"/>
          <cell r="F85"/>
        </row>
        <row r="86">
          <cell r="D86">
            <v>8247</v>
          </cell>
          <cell r="F86">
            <v>1705</v>
          </cell>
        </row>
        <row r="87">
          <cell r="D87">
            <v>17773</v>
          </cell>
          <cell r="F87">
            <v>393</v>
          </cell>
        </row>
        <row r="88">
          <cell r="D88"/>
          <cell r="F88"/>
        </row>
        <row r="89">
          <cell r="D89"/>
          <cell r="F89"/>
        </row>
        <row r="93">
          <cell r="D93">
            <v>1800</v>
          </cell>
          <cell r="F93"/>
        </row>
        <row r="94">
          <cell r="D94"/>
          <cell r="F94">
            <v>519</v>
          </cell>
        </row>
        <row r="95">
          <cell r="D95">
            <v>775</v>
          </cell>
          <cell r="F95"/>
        </row>
        <row r="96">
          <cell r="D96">
            <v>41610</v>
          </cell>
          <cell r="F96">
            <v>3</v>
          </cell>
        </row>
        <row r="97">
          <cell r="D97">
            <v>3769</v>
          </cell>
          <cell r="F97">
            <v>34</v>
          </cell>
        </row>
        <row r="98">
          <cell r="D98"/>
          <cell r="F98"/>
        </row>
        <row r="102">
          <cell r="D102"/>
          <cell r="F102"/>
        </row>
        <row r="103">
          <cell r="D103"/>
          <cell r="F103"/>
        </row>
        <row r="104">
          <cell r="D104">
            <v>486</v>
          </cell>
          <cell r="F104"/>
        </row>
        <row r="105">
          <cell r="D105"/>
          <cell r="F105"/>
        </row>
        <row r="106">
          <cell r="D106">
            <v>294</v>
          </cell>
          <cell r="F106"/>
        </row>
        <row r="107">
          <cell r="D107"/>
          <cell r="F107"/>
        </row>
        <row r="121">
          <cell r="D121"/>
          <cell r="F121"/>
        </row>
        <row r="122">
          <cell r="D122"/>
          <cell r="F122"/>
        </row>
        <row r="123">
          <cell r="D123">
            <v>4402</v>
          </cell>
          <cell r="F123"/>
        </row>
        <row r="124">
          <cell r="D124"/>
          <cell r="F124"/>
        </row>
        <row r="125">
          <cell r="D125"/>
          <cell r="F125"/>
        </row>
        <row r="129">
          <cell r="D129"/>
          <cell r="F129"/>
        </row>
        <row r="130">
          <cell r="D130"/>
          <cell r="F130"/>
        </row>
        <row r="131">
          <cell r="D131">
            <v>236594</v>
          </cell>
          <cell r="F131"/>
        </row>
        <row r="132">
          <cell r="D132"/>
          <cell r="F132">
            <v>68229</v>
          </cell>
        </row>
        <row r="133">
          <cell r="D133"/>
          <cell r="F133"/>
        </row>
        <row r="134">
          <cell r="D134">
            <v>3967</v>
          </cell>
          <cell r="F134">
            <v>15</v>
          </cell>
        </row>
        <row r="135">
          <cell r="D135"/>
          <cell r="F135"/>
        </row>
        <row r="136">
          <cell r="D136"/>
          <cell r="F136"/>
        </row>
        <row r="137">
          <cell r="D137"/>
          <cell r="F137"/>
        </row>
        <row r="138">
          <cell r="D138"/>
          <cell r="F138"/>
        </row>
        <row r="139">
          <cell r="D139"/>
          <cell r="F139"/>
        </row>
        <row r="141">
          <cell r="D141"/>
          <cell r="F141"/>
        </row>
        <row r="142">
          <cell r="D142"/>
          <cell r="F142"/>
        </row>
        <row r="143">
          <cell r="D143"/>
          <cell r="F143"/>
        </row>
        <row r="144">
          <cell r="D144"/>
          <cell r="F144"/>
        </row>
        <row r="145">
          <cell r="D145"/>
          <cell r="F145"/>
        </row>
        <row r="146">
          <cell r="D146"/>
          <cell r="F146"/>
        </row>
        <row r="150">
          <cell r="D150"/>
          <cell r="F150">
            <v>75</v>
          </cell>
        </row>
        <row r="151">
          <cell r="D151"/>
          <cell r="F151"/>
        </row>
        <row r="152">
          <cell r="D152">
            <v>1602</v>
          </cell>
          <cell r="F152">
            <v>276</v>
          </cell>
        </row>
        <row r="153">
          <cell r="D153">
            <v>2951</v>
          </cell>
          <cell r="F153">
            <v>40</v>
          </cell>
        </row>
        <row r="154">
          <cell r="D154"/>
          <cell r="F154"/>
        </row>
        <row r="158">
          <cell r="D158"/>
          <cell r="F158"/>
        </row>
        <row r="159">
          <cell r="D159"/>
          <cell r="F159"/>
        </row>
        <row r="160">
          <cell r="D160">
            <v>774</v>
          </cell>
          <cell r="F160">
            <v>56</v>
          </cell>
        </row>
        <row r="161">
          <cell r="D161"/>
          <cell r="F161"/>
        </row>
        <row r="162">
          <cell r="D162"/>
          <cell r="F162"/>
        </row>
        <row r="163"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>
            <v>96084</v>
          </cell>
          <cell r="F167"/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>
            <v>3043</v>
          </cell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>
            <v>217</v>
          </cell>
          <cell r="F199"/>
        </row>
        <row r="204">
          <cell r="D204">
            <v>840934</v>
          </cell>
        </row>
      </sheetData>
      <sheetData sheetId="8"/>
      <sheetData sheetId="9"/>
      <sheetData sheetId="10">
        <row r="9">
          <cell r="C9">
            <v>5811</v>
          </cell>
          <cell r="D9"/>
          <cell r="E9"/>
          <cell r="F9"/>
        </row>
        <row r="22">
          <cell r="G22">
            <v>16</v>
          </cell>
        </row>
        <row r="24">
          <cell r="G24">
            <v>16</v>
          </cell>
        </row>
        <row r="28">
          <cell r="G28">
            <v>5856</v>
          </cell>
        </row>
        <row r="30">
          <cell r="G30">
            <v>0.99231557377049184</v>
          </cell>
        </row>
        <row r="32">
          <cell r="G32">
            <v>0.99231557377049184</v>
          </cell>
        </row>
        <row r="34">
          <cell r="G34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P213"/>
  <sheetViews>
    <sheetView showGridLines="0" topLeftCell="A192" zoomScale="90" zoomScaleNormal="90" workbookViewId="0">
      <selection activeCell="F206" sqref="F206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22" style="53" customWidth="1"/>
    <col min="11" max="11" width="15.796875" style="53" customWidth="1"/>
    <col min="12" max="12" width="5" style="52" customWidth="1"/>
    <col min="13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318" t="s">
        <v>389</v>
      </c>
      <c r="D2" s="162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392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240">
        <v>7</v>
      </c>
      <c r="K7" s="240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19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0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'[1]Sch B'!E10</f>
        <v>505946</v>
      </c>
      <c r="D12" s="273">
        <f>'[1]Sch B'!G10</f>
        <v>0</v>
      </c>
      <c r="E12" s="180">
        <f>SUM(C12:D12)</f>
        <v>505946</v>
      </c>
      <c r="F12" s="180">
        <v>1002965</v>
      </c>
      <c r="G12" s="180">
        <f>IF(ISERROR(E12+F12)," ",(E12+F12))</f>
        <v>1508911</v>
      </c>
      <c r="H12" s="181">
        <f t="shared" ref="H12:H17" si="0">IF(ISERROR(G12/$G$17),"",(G12/$G$17))</f>
        <v>0.95083592166263053</v>
      </c>
      <c r="J12" s="246" t="s">
        <v>346</v>
      </c>
      <c r="K12" s="247">
        <f>G17</f>
        <v>1586931</v>
      </c>
      <c r="M12" s="237">
        <f>IFERROR(G12/G$194,0)</f>
        <v>177.9376179245283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'[1]Sch B'!E15</f>
        <v>21896</v>
      </c>
      <c r="D13" s="273">
        <f>'[1]Sch B'!G15</f>
        <v>0</v>
      </c>
      <c r="E13" s="180">
        <f t="shared" ref="E13:E16" si="1">SUM(C13:D13)</f>
        <v>21896</v>
      </c>
      <c r="F13" s="183">
        <v>43259</v>
      </c>
      <c r="G13" s="183">
        <f>IF(ISERROR(E13+F13),"",(E13+F13))</f>
        <v>65155</v>
      </c>
      <c r="H13" s="184">
        <f t="shared" si="0"/>
        <v>4.1057235632803189E-2</v>
      </c>
      <c r="J13" s="248" t="s">
        <v>347</v>
      </c>
      <c r="K13" s="249">
        <f>G183</f>
        <v>1752100.06</v>
      </c>
      <c r="M13" s="237">
        <f>IFERROR(G13/G$195,0)</f>
        <v>178.01912568306011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'[1]Sch B'!E20</f>
        <v>0</v>
      </c>
      <c r="D14" s="273">
        <f>'[1]Sch B'!G20</f>
        <v>0</v>
      </c>
      <c r="E14" s="180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8846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'[1]Sch B'!E25</f>
        <v>0</v>
      </c>
      <c r="D15" s="273">
        <f>'[1]Sch B'!G25</f>
        <v>0</v>
      </c>
      <c r="E15" s="180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26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'[1]Sch B'!E40</f>
        <v>0</v>
      </c>
      <c r="D16" s="273">
        <f>'[1]Sch B'!G40</f>
        <v>2114</v>
      </c>
      <c r="E16" s="180">
        <f t="shared" si="1"/>
        <v>2114</v>
      </c>
      <c r="F16" s="183">
        <v>10751</v>
      </c>
      <c r="G16" s="183">
        <f>IF(ISERROR(E16+F16),"",(E16+F16))</f>
        <v>12865</v>
      </c>
      <c r="H16" s="184">
        <f t="shared" si="0"/>
        <v>8.1068427045662347E-3</v>
      </c>
      <c r="J16" s="248" t="s">
        <v>350</v>
      </c>
      <c r="K16" s="249">
        <f>G205</f>
        <v>9516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527842</v>
      </c>
      <c r="D17" s="273">
        <f>SUM(D12:D16)</f>
        <v>2114</v>
      </c>
      <c r="E17" s="183">
        <f>SUM(E12:E16)</f>
        <v>529956</v>
      </c>
      <c r="F17" s="183">
        <f>SUM(F12:F16)</f>
        <v>1056975</v>
      </c>
      <c r="G17" s="183">
        <f>IF(ISERROR(E17+F17),"",(E17+F17))</f>
        <v>1586931</v>
      </c>
      <c r="H17" s="184">
        <f t="shared" si="0"/>
        <v>1</v>
      </c>
      <c r="J17" s="248"/>
      <c r="K17" s="249"/>
      <c r="M17" s="237">
        <f>IFERROR(G17/G$198,0)</f>
        <v>179.39531991860727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5"/>
      <c r="G18" s="28"/>
      <c r="H18" s="186"/>
      <c r="J18" s="248" t="s">
        <v>188</v>
      </c>
      <c r="K18" s="249">
        <f>J183</f>
        <v>52264.266666666634</v>
      </c>
    </row>
    <row r="19" spans="1:14">
      <c r="A19" s="31" t="s">
        <v>336</v>
      </c>
      <c r="B19" s="187" t="s">
        <v>157</v>
      </c>
      <c r="C19" s="168"/>
      <c r="D19" s="25"/>
      <c r="F19" s="319" t="s">
        <v>393</v>
      </c>
      <c r="G19" s="25"/>
      <c r="J19" s="250" t="s">
        <v>309</v>
      </c>
      <c r="K19" s="251">
        <f>K183</f>
        <v>55126.916666666628</v>
      </c>
    </row>
    <row r="20" spans="1:14">
      <c r="A20" s="188" t="s">
        <v>197</v>
      </c>
      <c r="B20" s="164" t="s">
        <v>19</v>
      </c>
      <c r="F20" s="320" t="s">
        <v>394</v>
      </c>
    </row>
    <row r="21" spans="1:14" s="43" customFormat="1">
      <c r="A21" s="130" t="s">
        <v>198</v>
      </c>
      <c r="B21" s="116" t="s">
        <v>20</v>
      </c>
      <c r="C21" s="273">
        <f>'[1]Sch C'!D10</f>
        <v>11770</v>
      </c>
      <c r="D21" s="273">
        <f>'[1]Sch C'!F10</f>
        <v>0</v>
      </c>
      <c r="E21" s="180">
        <f t="shared" ref="E21:E56" si="2">SUM(C21:D21)</f>
        <v>11770</v>
      </c>
      <c r="F21" s="180">
        <v>24099</v>
      </c>
      <c r="G21" s="180">
        <f t="shared" ref="G21:G57" si="3">IF(ISERROR(E21+F21),"",(E21+F21))</f>
        <v>35869</v>
      </c>
      <c r="H21" s="181">
        <f>IF(ISERROR(G21/$G$183),"",(G21/$G$183))</f>
        <v>2.0472004321488352E-2</v>
      </c>
      <c r="J21" s="261">
        <f>362.253333333333+706</f>
        <v>1068.2533333333331</v>
      </c>
      <c r="K21" s="261">
        <f>413.866666666667+798</f>
        <v>1211.866666666667</v>
      </c>
      <c r="M21" s="237">
        <f>IFERROR(G21/G$198,0)</f>
        <v>4.0548270404702693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'[1]Sch C'!D11</f>
        <v>0</v>
      </c>
      <c r="D22" s="273">
        <f>'[1]Sch C'!F11</f>
        <v>0</v>
      </c>
      <c r="E22" s="180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'[1]Sch C'!D12</f>
        <v>6519</v>
      </c>
      <c r="D23" s="273">
        <f>'[1]Sch C'!F12</f>
        <v>0</v>
      </c>
      <c r="E23" s="180">
        <f t="shared" si="2"/>
        <v>6519</v>
      </c>
      <c r="F23" s="183">
        <v>13709</v>
      </c>
      <c r="G23" s="183">
        <f t="shared" si="3"/>
        <v>20228</v>
      </c>
      <c r="H23" s="181">
        <f t="shared" si="4"/>
        <v>1.1545002743735993E-2</v>
      </c>
      <c r="J23" s="189">
        <f>403.56+757</f>
        <v>1160.56</v>
      </c>
      <c r="K23" s="189">
        <f>438.133333333333+859</f>
        <v>1297.133333333333</v>
      </c>
      <c r="M23" s="237">
        <f t="shared" si="5"/>
        <v>2.2866832466651594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'[1]Sch C'!D13</f>
        <v>25995</v>
      </c>
      <c r="D24" s="273">
        <f>'[1]Sch C'!F13</f>
        <v>-24126</v>
      </c>
      <c r="E24" s="180">
        <f t="shared" si="2"/>
        <v>1869</v>
      </c>
      <c r="F24" s="183">
        <v>6771</v>
      </c>
      <c r="G24" s="183">
        <f t="shared" si="3"/>
        <v>8640</v>
      </c>
      <c r="H24" s="181">
        <f t="shared" si="4"/>
        <v>4.9312252178109047E-3</v>
      </c>
      <c r="J24" s="136"/>
      <c r="K24" s="136"/>
      <c r="M24" s="237">
        <f t="shared" si="5"/>
        <v>0.97671263848066925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'[1]Sch C'!D14</f>
        <v>0</v>
      </c>
      <c r="D25" s="273">
        <f>'[1]Sch C'!F14</f>
        <v>0</v>
      </c>
      <c r="E25" s="180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'[1]Sch C'!D15</f>
        <v>31815</v>
      </c>
      <c r="D26" s="273">
        <f>'[1]Sch C'!F15</f>
        <v>0</v>
      </c>
      <c r="E26" s="180">
        <f t="shared" si="2"/>
        <v>31815</v>
      </c>
      <c r="F26" s="183">
        <v>65160</v>
      </c>
      <c r="G26" s="183">
        <f t="shared" si="3"/>
        <v>96975</v>
      </c>
      <c r="H26" s="181">
        <f t="shared" si="4"/>
        <v>5.534786637699219E-2</v>
      </c>
      <c r="J26" s="136"/>
      <c r="K26" s="136"/>
      <c r="M26" s="237">
        <f t="shared" si="5"/>
        <v>10.962581957947094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'[1]Sch C'!D16</f>
        <v>112128</v>
      </c>
      <c r="D27" s="273">
        <f>'[1]Sch C'!F16</f>
        <v>2314.9499999999998</v>
      </c>
      <c r="E27" s="180">
        <f t="shared" si="2"/>
        <v>114442.95</v>
      </c>
      <c r="F27" s="183">
        <v>61896</v>
      </c>
      <c r="G27" s="183">
        <f t="shared" si="3"/>
        <v>176338.95</v>
      </c>
      <c r="H27" s="181">
        <f t="shared" si="4"/>
        <v>0.10064433762989541</v>
      </c>
      <c r="J27" s="136"/>
      <c r="K27" s="136"/>
      <c r="M27" s="237">
        <f t="shared" si="5"/>
        <v>19.934314944607735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'[1]Sch C'!D17</f>
        <v>0</v>
      </c>
      <c r="D28" s="273">
        <f>'[1]Sch C'!F17</f>
        <v>0</v>
      </c>
      <c r="E28" s="180">
        <f t="shared" si="2"/>
        <v>0</v>
      </c>
      <c r="F28" s="183">
        <v>308</v>
      </c>
      <c r="G28" s="183">
        <f t="shared" si="3"/>
        <v>308</v>
      </c>
      <c r="H28" s="181">
        <f t="shared" si="4"/>
        <v>1.7578904711640727E-4</v>
      </c>
      <c r="J28" s="136"/>
      <c r="K28" s="136"/>
      <c r="M28" s="237">
        <f t="shared" si="5"/>
        <v>3.4817996834727562E-2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'[1]Sch C'!D18</f>
        <v>5321</v>
      </c>
      <c r="D29" s="273">
        <f>'[1]Sch C'!F18</f>
        <v>0</v>
      </c>
      <c r="E29" s="180">
        <f t="shared" si="2"/>
        <v>5321</v>
      </c>
      <c r="F29" s="183">
        <v>9924</v>
      </c>
      <c r="G29" s="183">
        <f t="shared" si="3"/>
        <v>15245</v>
      </c>
      <c r="H29" s="181">
        <f t="shared" si="4"/>
        <v>8.7009870886026915E-3</v>
      </c>
      <c r="J29" s="136"/>
      <c r="K29" s="136"/>
      <c r="M29" s="237">
        <f t="shared" si="5"/>
        <v>1.7233777978747455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'[1]Sch C'!D19</f>
        <v>852</v>
      </c>
      <c r="D30" s="273">
        <f>'[1]Sch C'!F19</f>
        <v>0</v>
      </c>
      <c r="E30" s="180">
        <f t="shared" si="2"/>
        <v>852</v>
      </c>
      <c r="F30" s="183">
        <v>2043</v>
      </c>
      <c r="G30" s="183">
        <f t="shared" si="3"/>
        <v>2895</v>
      </c>
      <c r="H30" s="181">
        <f t="shared" si="4"/>
        <v>1.6523028941623345E-3</v>
      </c>
      <c r="J30" s="136"/>
      <c r="K30" s="136"/>
      <c r="M30" s="237">
        <f t="shared" si="5"/>
        <v>0.32726656115758535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'[1]Sch C'!D20</f>
        <v>2061</v>
      </c>
      <c r="D31" s="273">
        <f>'[1]Sch C'!F20</f>
        <v>-1847.55</v>
      </c>
      <c r="E31" s="180">
        <f t="shared" si="2"/>
        <v>213.45000000000005</v>
      </c>
      <c r="F31" s="183">
        <v>290</v>
      </c>
      <c r="G31" s="183">
        <f t="shared" si="3"/>
        <v>503.45000000000005</v>
      </c>
      <c r="H31" s="181">
        <f t="shared" si="4"/>
        <v>2.8734089535959497E-4</v>
      </c>
      <c r="J31" s="136"/>
      <c r="K31" s="136"/>
      <c r="M31" s="237">
        <f t="shared" si="5"/>
        <v>5.6912728917024646E-2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'[1]Sch C'!D21</f>
        <v>0</v>
      </c>
      <c r="D32" s="273">
        <f>'[1]Sch C'!F21</f>
        <v>0</v>
      </c>
      <c r="E32" s="180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'[1]Sch C'!D22</f>
        <v>0</v>
      </c>
      <c r="D33" s="273">
        <f>'[1]Sch C'!F22</f>
        <v>0</v>
      </c>
      <c r="E33" s="180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'[1]Sch C'!D23</f>
        <v>3877</v>
      </c>
      <c r="D34" s="273">
        <f>'[1]Sch C'!F23</f>
        <v>0</v>
      </c>
      <c r="E34" s="180">
        <f t="shared" si="2"/>
        <v>3877</v>
      </c>
      <c r="F34" s="183">
        <v>5189</v>
      </c>
      <c r="G34" s="183">
        <f t="shared" si="3"/>
        <v>9066</v>
      </c>
      <c r="H34" s="181">
        <f t="shared" si="4"/>
        <v>5.174362016744637E-3</v>
      </c>
      <c r="J34" s="136"/>
      <c r="K34" s="136"/>
      <c r="M34" s="237">
        <f t="shared" si="5"/>
        <v>1.0248699977390912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'[1]Sch C'!D24</f>
        <v>0</v>
      </c>
      <c r="D35" s="273">
        <f>'[1]Sch C'!F24</f>
        <v>0</v>
      </c>
      <c r="E35" s="180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'[1]Sch C'!D25</f>
        <v>921</v>
      </c>
      <c r="D36" s="273">
        <f>'[1]Sch C'!F25</f>
        <v>-240.79</v>
      </c>
      <c r="E36" s="180">
        <f t="shared" si="2"/>
        <v>680.21</v>
      </c>
      <c r="F36" s="183">
        <v>0</v>
      </c>
      <c r="G36" s="183">
        <f t="shared" si="3"/>
        <v>680.21</v>
      </c>
      <c r="H36" s="181">
        <f t="shared" si="4"/>
        <v>3.8822554460730973E-4</v>
      </c>
      <c r="J36" s="136"/>
      <c r="K36" s="136"/>
      <c r="M36" s="237">
        <f t="shared" si="5"/>
        <v>7.6894641645941675E-2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'[1]Sch C'!D26</f>
        <v>25118</v>
      </c>
      <c r="D37" s="273">
        <f>'[1]Sch C'!F26</f>
        <v>0</v>
      </c>
      <c r="E37" s="180">
        <f t="shared" si="2"/>
        <v>25118</v>
      </c>
      <c r="F37" s="183">
        <v>49719</v>
      </c>
      <c r="G37" s="183">
        <f t="shared" si="3"/>
        <v>74837</v>
      </c>
      <c r="H37" s="181">
        <f t="shared" si="4"/>
        <v>4.2712743243670685E-2</v>
      </c>
      <c r="J37" s="136"/>
      <c r="K37" s="136"/>
      <c r="M37" s="237">
        <f t="shared" si="5"/>
        <v>8.4599819127289173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'[1]Sch C'!D27</f>
        <v>0</v>
      </c>
      <c r="D38" s="273">
        <f>'[1]Sch C'!F27</f>
        <v>0</v>
      </c>
      <c r="E38" s="180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'[1]Sch C'!D28</f>
        <v>0</v>
      </c>
      <c r="D39" s="273">
        <f>'[1]Sch C'!F28</f>
        <v>0</v>
      </c>
      <c r="E39" s="180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'[1]Sch C'!D29</f>
        <v>0</v>
      </c>
      <c r="D40" s="273">
        <f>'[1]Sch C'!F29</f>
        <v>0</v>
      </c>
      <c r="E40" s="180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'[1]Sch C'!D30</f>
        <v>0</v>
      </c>
      <c r="D41" s="273">
        <f>'[1]Sch C'!F30</f>
        <v>0</v>
      </c>
      <c r="E41" s="180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'[1]Sch C'!D31</f>
        <v>6464</v>
      </c>
      <c r="D42" s="273">
        <f>'[1]Sch C'!F31</f>
        <v>0</v>
      </c>
      <c r="E42" s="180">
        <f t="shared" si="2"/>
        <v>6464</v>
      </c>
      <c r="F42" s="183">
        <v>10599</v>
      </c>
      <c r="G42" s="183">
        <f t="shared" si="3"/>
        <v>17063</v>
      </c>
      <c r="H42" s="181">
        <f t="shared" si="4"/>
        <v>9.738599061517068E-3</v>
      </c>
      <c r="J42" s="136"/>
      <c r="K42" s="136"/>
      <c r="M42" s="237">
        <f t="shared" si="5"/>
        <v>1.9288944155550531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'[1]Sch C'!D32</f>
        <v>0</v>
      </c>
      <c r="D43" s="273">
        <f>'[1]Sch C'!F32</f>
        <v>0</v>
      </c>
      <c r="E43" s="180">
        <f t="shared" si="2"/>
        <v>0</v>
      </c>
      <c r="F43" s="183">
        <v>2688</v>
      </c>
      <c r="G43" s="183">
        <f t="shared" si="3"/>
        <v>2688</v>
      </c>
      <c r="H43" s="181">
        <f t="shared" si="4"/>
        <v>1.5341589566522816E-3</v>
      </c>
      <c r="J43" s="136"/>
      <c r="K43" s="136"/>
      <c r="M43" s="237">
        <f t="shared" si="5"/>
        <v>0.30386615419398599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'[1]Sch C'!D33</f>
        <v>0</v>
      </c>
      <c r="D44" s="273">
        <f>'[1]Sch C'!F33</f>
        <v>0</v>
      </c>
      <c r="E44" s="180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'[1]Sch C'!D34</f>
        <v>0</v>
      </c>
      <c r="D45" s="273">
        <f>'[1]Sch C'!F34</f>
        <v>0</v>
      </c>
      <c r="E45" s="180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'[1]Sch C'!D35</f>
        <v>0</v>
      </c>
      <c r="D46" s="273">
        <f>'[1]Sch C'!F35</f>
        <v>0</v>
      </c>
      <c r="E46" s="180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'[1]Sch C'!D36</f>
        <v>0</v>
      </c>
      <c r="D47" s="273">
        <f>'[1]Sch C'!F36</f>
        <v>0</v>
      </c>
      <c r="E47" s="180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'[1]Sch C'!D37</f>
        <v>0</v>
      </c>
      <c r="D48" s="273">
        <f>'[1]Sch C'!F37</f>
        <v>0</v>
      </c>
      <c r="E48" s="180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'[1]Sch C'!D38</f>
        <v>0</v>
      </c>
      <c r="D49" s="273">
        <f>'[1]Sch C'!F38</f>
        <v>0</v>
      </c>
      <c r="E49" s="180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'[1]Sch C'!D39</f>
        <v>227</v>
      </c>
      <c r="D50" s="273">
        <f>'[1]Sch C'!F39</f>
        <v>0</v>
      </c>
      <c r="E50" s="180">
        <f t="shared" si="2"/>
        <v>227</v>
      </c>
      <c r="F50" s="183">
        <v>0</v>
      </c>
      <c r="G50" s="183">
        <f t="shared" si="3"/>
        <v>227</v>
      </c>
      <c r="H50" s="181">
        <f t="shared" si="4"/>
        <v>1.2955881069943003E-4</v>
      </c>
      <c r="J50" s="136"/>
      <c r="K50" s="136"/>
      <c r="M50" s="237">
        <f t="shared" si="5"/>
        <v>2.5661315848971286E-2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'[1]Sch C'!D40</f>
        <v>0</v>
      </c>
      <c r="D51" s="273">
        <f>'[1]Sch C'!F40</f>
        <v>0</v>
      </c>
      <c r="E51" s="180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'[1]Sch C'!D41</f>
        <v>2332</v>
      </c>
      <c r="D52" s="273">
        <f>'[1]Sch C'!F41</f>
        <v>0</v>
      </c>
      <c r="E52" s="180">
        <f t="shared" si="2"/>
        <v>2332</v>
      </c>
      <c r="F52" s="183">
        <v>3076</v>
      </c>
      <c r="G52" s="183">
        <f t="shared" si="3"/>
        <v>5408</v>
      </c>
      <c r="H52" s="181">
        <f t="shared" si="4"/>
        <v>3.0865817104075667E-3</v>
      </c>
      <c r="J52" s="136"/>
      <c r="K52" s="136"/>
      <c r="M52" s="237">
        <f t="shared" si="5"/>
        <v>0.61134976260456708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'[1]Sch C'!D42</f>
        <v>0</v>
      </c>
      <c r="D53" s="273">
        <f>'[1]Sch C'!F42</f>
        <v>0</v>
      </c>
      <c r="E53" s="180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'[1]Sch C'!D43</f>
        <v>781</v>
      </c>
      <c r="D54" s="273">
        <f>'[1]Sch C'!F43</f>
        <v>0</v>
      </c>
      <c r="E54" s="180">
        <f t="shared" si="2"/>
        <v>781</v>
      </c>
      <c r="F54" s="183">
        <v>1147</v>
      </c>
      <c r="G54" s="183">
        <f t="shared" si="3"/>
        <v>1928</v>
      </c>
      <c r="H54" s="181">
        <f t="shared" si="4"/>
        <v>1.1003937754559519E-3</v>
      </c>
      <c r="J54" s="136"/>
      <c r="K54" s="136"/>
      <c r="M54" s="237">
        <f t="shared" si="5"/>
        <v>0.21795161654985304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'[1]Sch C'!D44</f>
        <v>0</v>
      </c>
      <c r="D55" s="273">
        <f>'[1]Sch C'!F44</f>
        <v>0</v>
      </c>
      <c r="E55" s="180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'[1]Sch C'!D45</f>
        <v>0</v>
      </c>
      <c r="D56" s="273">
        <f>'[1]Sch C'!F45</f>
        <v>0</v>
      </c>
      <c r="E56" s="180">
        <f t="shared" si="2"/>
        <v>0</v>
      </c>
      <c r="F56" s="330">
        <f>6548-6548</f>
        <v>0</v>
      </c>
      <c r="G56" s="183">
        <f t="shared" si="3"/>
        <v>0</v>
      </c>
      <c r="H56" s="181">
        <f t="shared" si="4"/>
        <v>0</v>
      </c>
      <c r="I56" s="279" t="s">
        <v>406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236181</v>
      </c>
      <c r="D57" s="273">
        <f>SUM(D21:D56)</f>
        <v>-23899.39</v>
      </c>
      <c r="E57" s="183">
        <f>SUM(E21:E56)</f>
        <v>212281.61000000002</v>
      </c>
      <c r="F57" s="183">
        <f>SUM(F21:F56)</f>
        <v>256618</v>
      </c>
      <c r="G57" s="183">
        <f t="shared" si="3"/>
        <v>468899.61</v>
      </c>
      <c r="H57" s="181">
        <f t="shared" si="4"/>
        <v>0.26762147933491881</v>
      </c>
      <c r="J57" s="136"/>
      <c r="K57" s="136"/>
      <c r="M57" s="237">
        <f t="shared" si="5"/>
        <v>53.006964729821384</v>
      </c>
      <c r="N57" s="243">
        <f>SUMMARY!M57</f>
        <v>39.672950949912064</v>
      </c>
      <c r="O57" s="238">
        <f>M57/N57-1</f>
        <v>0.33609836073812094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'[1]Sch C'!D57</f>
        <v>614</v>
      </c>
      <c r="D60" s="273">
        <f>'[1]Sch C'!F57</f>
        <v>0</v>
      </c>
      <c r="E60" s="180">
        <f t="shared" ref="E60:E76" si="6">SUM(C60:D60)</f>
        <v>614</v>
      </c>
      <c r="F60" s="179">
        <v>59279</v>
      </c>
      <c r="G60" s="179">
        <f>IF(ISERROR(E60+F60),"",(E60+F60))</f>
        <v>59893</v>
      </c>
      <c r="H60" s="181">
        <f>IF(ISERROR(G60/$G$183),"",(G60/$G$183))</f>
        <v>3.418354999656812E-2</v>
      </c>
      <c r="J60" s="136"/>
      <c r="K60" s="136"/>
      <c r="M60" s="237">
        <f>IFERROR(G60/G$198,0)</f>
        <v>6.7706307935790191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'[1]Sch C'!D58</f>
        <v>5848</v>
      </c>
      <c r="D61" s="273">
        <f>'[1]Sch C'!F58</f>
        <v>0</v>
      </c>
      <c r="E61" s="180">
        <f t="shared" si="6"/>
        <v>5848</v>
      </c>
      <c r="F61" s="179">
        <v>0</v>
      </c>
      <c r="G61" s="179">
        <f t="shared" ref="G61:G76" si="7">IF(ISERROR(E61+F61),"",(E61+F61))</f>
        <v>5848</v>
      </c>
      <c r="H61" s="181">
        <f t="shared" ref="H61:H76" si="8">IF(ISERROR(G61/$G$183),"",(G61/$G$183))</f>
        <v>3.3377089205738624E-3</v>
      </c>
      <c r="J61" s="136"/>
      <c r="K61" s="136"/>
      <c r="M61" s="237">
        <f t="shared" ref="M61:M77" si="9">IFERROR(G61/G$198,0)</f>
        <v>0.66108975808274928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'[1]Sch C'!D59</f>
        <v>16597</v>
      </c>
      <c r="D62" s="273">
        <f>'[1]Sch C'!F59</f>
        <v>-1420.55</v>
      </c>
      <c r="E62" s="180">
        <f t="shared" si="6"/>
        <v>15176.45</v>
      </c>
      <c r="F62" s="179">
        <v>1209</v>
      </c>
      <c r="G62" s="179">
        <f t="shared" si="7"/>
        <v>16385.45</v>
      </c>
      <c r="H62" s="181">
        <f t="shared" si="8"/>
        <v>9.3518916950439471E-3</v>
      </c>
      <c r="J62" s="136"/>
      <c r="K62" s="136"/>
      <c r="M62" s="237">
        <f t="shared" si="9"/>
        <v>1.852300474790866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'[1]Sch C'!D60</f>
        <v>0</v>
      </c>
      <c r="D63" s="273">
        <f>'[1]Sch C'!F60</f>
        <v>0</v>
      </c>
      <c r="E63" s="180">
        <f t="shared" si="6"/>
        <v>0</v>
      </c>
      <c r="F63" s="179">
        <v>1164</v>
      </c>
      <c r="G63" s="179">
        <f t="shared" si="7"/>
        <v>1164</v>
      </c>
      <c r="H63" s="181">
        <f t="shared" si="8"/>
        <v>6.6434561962174692E-4</v>
      </c>
      <c r="J63" s="136"/>
      <c r="K63" s="136"/>
      <c r="M63" s="237">
        <f t="shared" si="9"/>
        <v>0.13158489712864571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'[1]Sch C'!D61</f>
        <v>1240</v>
      </c>
      <c r="D64" s="273">
        <f>'[1]Sch C'!F61</f>
        <v>0</v>
      </c>
      <c r="E64" s="180">
        <f t="shared" si="6"/>
        <v>1240</v>
      </c>
      <c r="F64" s="179">
        <v>3380</v>
      </c>
      <c r="G64" s="179">
        <f t="shared" si="7"/>
        <v>4620</v>
      </c>
      <c r="H64" s="181">
        <f t="shared" si="8"/>
        <v>2.6368357067461088E-3</v>
      </c>
      <c r="J64" s="136"/>
      <c r="K64" s="136"/>
      <c r="M64" s="237">
        <f t="shared" si="9"/>
        <v>0.52226995252091346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'[1]Sch C'!D62</f>
        <v>0</v>
      </c>
      <c r="D65" s="273">
        <f>'[1]Sch C'!F62</f>
        <v>0</v>
      </c>
      <c r="E65" s="180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'[1]Sch C'!D63</f>
        <v>0</v>
      </c>
      <c r="D66" s="273">
        <f>'[1]Sch C'!F63</f>
        <v>0</v>
      </c>
      <c r="E66" s="180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'[1]Sch C'!D64</f>
        <v>597</v>
      </c>
      <c r="D67" s="273">
        <f>'[1]Sch C'!F64</f>
        <v>0</v>
      </c>
      <c r="E67" s="180">
        <f t="shared" si="6"/>
        <v>597</v>
      </c>
      <c r="F67" s="179">
        <v>0</v>
      </c>
      <c r="G67" s="179">
        <f t="shared" si="7"/>
        <v>597</v>
      </c>
      <c r="H67" s="181">
        <f t="shared" si="8"/>
        <v>3.4073396470290628E-4</v>
      </c>
      <c r="J67" s="136"/>
      <c r="K67" s="136"/>
      <c r="M67" s="237">
        <f t="shared" si="9"/>
        <v>6.7488130228351803E-2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'[1]Sch C'!D65</f>
        <v>0</v>
      </c>
      <c r="D68" s="273">
        <f>'[1]Sch C'!F65</f>
        <v>0</v>
      </c>
      <c r="E68" s="180">
        <f t="shared" si="6"/>
        <v>0</v>
      </c>
      <c r="F68" s="179">
        <v>0</v>
      </c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'[1]Sch C'!D66</f>
        <v>0</v>
      </c>
      <c r="D69" s="273">
        <f>'[1]Sch C'!F66</f>
        <v>0</v>
      </c>
      <c r="E69" s="180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'[1]Sch C'!D67</f>
        <v>1438</v>
      </c>
      <c r="D70" s="273">
        <f>'[1]Sch C'!F67</f>
        <v>0</v>
      </c>
      <c r="E70" s="180">
        <f t="shared" si="6"/>
        <v>1438</v>
      </c>
      <c r="F70" s="179">
        <v>1611</v>
      </c>
      <c r="G70" s="179">
        <f t="shared" si="7"/>
        <v>3049</v>
      </c>
      <c r="H70" s="181">
        <f t="shared" si="8"/>
        <v>1.740197417720538E-3</v>
      </c>
      <c r="J70" s="136"/>
      <c r="K70" s="136"/>
      <c r="M70" s="237">
        <f t="shared" si="9"/>
        <v>0.34467555957494911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'[1]Sch C'!D68</f>
        <v>0</v>
      </c>
      <c r="D71" s="273">
        <f>'[1]Sch C'!F68</f>
        <v>0</v>
      </c>
      <c r="E71" s="180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'[1]Sch C'!D69</f>
        <v>946</v>
      </c>
      <c r="D72" s="273">
        <f>'[1]Sch C'!F69</f>
        <v>0</v>
      </c>
      <c r="E72" s="180">
        <f t="shared" si="6"/>
        <v>946</v>
      </c>
      <c r="F72" s="179">
        <v>0</v>
      </c>
      <c r="G72" s="179">
        <f t="shared" si="7"/>
        <v>946</v>
      </c>
      <c r="H72" s="181">
        <f t="shared" si="8"/>
        <v>5.3992350185753663E-4</v>
      </c>
      <c r="J72" s="136"/>
      <c r="K72" s="136"/>
      <c r="M72" s="237">
        <f t="shared" si="9"/>
        <v>0.1069409902780918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'[1]Sch C'!D70</f>
        <v>0</v>
      </c>
      <c r="D73" s="273">
        <f>'[1]Sch C'!F70</f>
        <v>0</v>
      </c>
      <c r="E73" s="180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'[1]Sch C'!D71</f>
        <v>0</v>
      </c>
      <c r="D74" s="273">
        <f>'[1]Sch C'!F71</f>
        <v>0</v>
      </c>
      <c r="E74" s="180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'[1]Sch C'!D72</f>
        <v>0</v>
      </c>
      <c r="D75" s="273">
        <f>'[1]Sch C'!F72</f>
        <v>0</v>
      </c>
      <c r="E75" s="180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'[1]Sch C'!D73</f>
        <v>0</v>
      </c>
      <c r="D76" s="273">
        <f>'[1]Sch C'!F73</f>
        <v>0</v>
      </c>
      <c r="E76" s="180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27280</v>
      </c>
      <c r="D77" s="273">
        <f>SUM(D60:D76)</f>
        <v>-1420.55</v>
      </c>
      <c r="E77" s="182">
        <f>SUM(E60:E76)</f>
        <v>25859.45</v>
      </c>
      <c r="F77" s="182">
        <f>SUM(F60:F76)</f>
        <v>66643</v>
      </c>
      <c r="G77" s="183">
        <f>IF(ISERROR(E77+F77),"",(E77+F77))</f>
        <v>92502.45</v>
      </c>
      <c r="H77" s="181">
        <f>IF(ISERROR(G77/$G$183),"",(G77/$G$183))</f>
        <v>5.279518682283476E-2</v>
      </c>
      <c r="J77" s="136"/>
      <c r="K77" s="136"/>
      <c r="M77" s="237">
        <f t="shared" si="9"/>
        <v>10.456980556183586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'[1]Sch C'!D78</f>
        <v>4255</v>
      </c>
      <c r="D80" s="273">
        <f>'[1]Sch C'!F78</f>
        <v>0</v>
      </c>
      <c r="E80" s="180">
        <f t="shared" ref="E80:E91" si="10">SUM(C80:D80)</f>
        <v>4255</v>
      </c>
      <c r="F80" s="180">
        <v>8648</v>
      </c>
      <c r="G80" s="180">
        <f>IF(ISERROR(E80+F80),"",(E80+F80))</f>
        <v>12903</v>
      </c>
      <c r="H80" s="181">
        <f t="shared" ref="H80:H92" si="11">IF(ISERROR(G80/$G$183),"",(G80/$G$183))</f>
        <v>7.3643054381266329E-3</v>
      </c>
      <c r="J80" s="261">
        <f>334+604</f>
        <v>938</v>
      </c>
      <c r="K80" s="261">
        <f>354+644</f>
        <v>998</v>
      </c>
      <c r="M80" s="237">
        <f t="shared" ref="M80:M92" si="12">IFERROR(G80/G$198,0)</f>
        <v>1.4586253673976939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'[1]Sch C'!D79</f>
        <v>0</v>
      </c>
      <c r="D81" s="273">
        <f>'[1]Sch C'!F79</f>
        <v>435</v>
      </c>
      <c r="E81" s="180">
        <f t="shared" si="10"/>
        <v>435</v>
      </c>
      <c r="F81" s="183">
        <v>912</v>
      </c>
      <c r="G81" s="183">
        <f>IF(ISERROR(E81+F81),"",(E81+F81))</f>
        <v>1347</v>
      </c>
      <c r="H81" s="181">
        <f t="shared" si="11"/>
        <v>7.6879170930454739E-4</v>
      </c>
      <c r="J81" s="136"/>
      <c r="K81" s="136"/>
      <c r="M81" s="237">
        <f t="shared" si="12"/>
        <v>0.15227221342979877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'[1]Sch C'!D80</f>
        <v>581</v>
      </c>
      <c r="D82" s="273">
        <f>'[1]Sch C'!F80</f>
        <v>0</v>
      </c>
      <c r="E82" s="180">
        <f t="shared" si="10"/>
        <v>581</v>
      </c>
      <c r="F82" s="183">
        <v>1095</v>
      </c>
      <c r="G82" s="183">
        <f>IF(ISERROR(E82+F82),"",(E82+F82))</f>
        <v>1676</v>
      </c>
      <c r="H82" s="181">
        <f t="shared" si="11"/>
        <v>9.5656637326980054E-4</v>
      </c>
      <c r="J82" s="136"/>
      <c r="K82" s="136"/>
      <c r="M82" s="237">
        <f t="shared" si="12"/>
        <v>0.18946416459416685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'[1]Sch C'!D81</f>
        <v>0</v>
      </c>
      <c r="D83" s="273">
        <f>'[1]Sch C'!F81</f>
        <v>0</v>
      </c>
      <c r="E83" s="180">
        <f t="shared" si="10"/>
        <v>0</v>
      </c>
      <c r="F83" s="330">
        <f>1737+6548</f>
        <v>8285</v>
      </c>
      <c r="G83" s="183">
        <f>IF(ISERROR(E83+F83),"",(E83+F83))</f>
        <v>8285</v>
      </c>
      <c r="H83" s="181">
        <f t="shared" si="11"/>
        <v>4.7286112186994619E-3</v>
      </c>
      <c r="I83" s="279" t="s">
        <v>407</v>
      </c>
      <c r="J83" s="136"/>
      <c r="K83" s="136"/>
      <c r="M83" s="237">
        <f t="shared" si="12"/>
        <v>0.93658150576531762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'[1]Sch C'!D82</f>
        <v>0</v>
      </c>
      <c r="D84" s="273">
        <f>'[1]Sch C'!F82</f>
        <v>0</v>
      </c>
      <c r="E84" s="180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'[1]Sch C'!D83</f>
        <v>1594</v>
      </c>
      <c r="D85" s="273">
        <f>'[1]Sch C'!F83</f>
        <v>0</v>
      </c>
      <c r="E85" s="180">
        <f t="shared" si="10"/>
        <v>1594</v>
      </c>
      <c r="F85" s="183">
        <v>691</v>
      </c>
      <c r="G85" s="183">
        <f t="shared" si="13"/>
        <v>2285</v>
      </c>
      <c r="H85" s="181">
        <f t="shared" si="11"/>
        <v>1.304149261886333E-3</v>
      </c>
      <c r="J85" s="136"/>
      <c r="K85" s="136"/>
      <c r="M85" s="237">
        <f t="shared" si="12"/>
        <v>0.25830884015374178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'[1]Sch C'!D84</f>
        <v>49</v>
      </c>
      <c r="D86" s="273">
        <f>'[1]Sch C'!F84</f>
        <v>0</v>
      </c>
      <c r="E86" s="180">
        <f t="shared" si="10"/>
        <v>49</v>
      </c>
      <c r="F86" s="183">
        <v>32058</v>
      </c>
      <c r="G86" s="183">
        <f t="shared" si="13"/>
        <v>32107</v>
      </c>
      <c r="H86" s="181">
        <f t="shared" si="11"/>
        <v>1.8324866674566519E-2</v>
      </c>
      <c r="J86" s="136"/>
      <c r="K86" s="136"/>
      <c r="M86" s="237">
        <f t="shared" si="12"/>
        <v>3.6295500791318109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'[1]Sch C'!D85</f>
        <v>13346</v>
      </c>
      <c r="D87" s="273">
        <f>'[1]Sch C'!F85</f>
        <v>0</v>
      </c>
      <c r="E87" s="180">
        <f t="shared" si="10"/>
        <v>13346</v>
      </c>
      <c r="F87" s="183">
        <v>272</v>
      </c>
      <c r="G87" s="183">
        <f t="shared" si="13"/>
        <v>13618</v>
      </c>
      <c r="H87" s="181">
        <f t="shared" si="11"/>
        <v>7.7723871546468643E-3</v>
      </c>
      <c r="J87" s="136"/>
      <c r="K87" s="136"/>
      <c r="M87" s="237">
        <f t="shared" si="12"/>
        <v>1.5394528600497399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'[1]Sch C'!D86</f>
        <v>0</v>
      </c>
      <c r="D88" s="273">
        <f>'[1]Sch C'!F86</f>
        <v>0</v>
      </c>
      <c r="E88" s="180">
        <f t="shared" si="10"/>
        <v>0</v>
      </c>
      <c r="F88" s="183">
        <v>0</v>
      </c>
      <c r="G88" s="183">
        <f t="shared" si="13"/>
        <v>0</v>
      </c>
      <c r="H88" s="181">
        <f t="shared" si="11"/>
        <v>0</v>
      </c>
      <c r="J88" s="136"/>
      <c r="K88" s="136"/>
      <c r="M88" s="237">
        <f t="shared" si="12"/>
        <v>0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'[1]Sch C'!D87</f>
        <v>5423</v>
      </c>
      <c r="D89" s="273">
        <f>'[1]Sch C'!F87</f>
        <v>0</v>
      </c>
      <c r="E89" s="180">
        <f t="shared" si="10"/>
        <v>5423</v>
      </c>
      <c r="F89" s="183">
        <v>13492</v>
      </c>
      <c r="G89" s="183">
        <f t="shared" si="13"/>
        <v>18915</v>
      </c>
      <c r="H89" s="181">
        <f t="shared" si="11"/>
        <v>1.0795616318853387E-2</v>
      </c>
      <c r="J89" s="136"/>
      <c r="K89" s="136"/>
      <c r="M89" s="237">
        <f t="shared" si="12"/>
        <v>2.1382545783404927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'[1]Sch C'!D88</f>
        <v>0</v>
      </c>
      <c r="D90" s="273">
        <f>'[1]Sch C'!F88</f>
        <v>0</v>
      </c>
      <c r="E90" s="180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'[1]Sch C'!D89</f>
        <v>4695</v>
      </c>
      <c r="D91" s="273">
        <f>'[1]Sch C'!F89</f>
        <v>0</v>
      </c>
      <c r="E91" s="180">
        <f t="shared" si="10"/>
        <v>4695</v>
      </c>
      <c r="F91" s="183">
        <v>12546</v>
      </c>
      <c r="G91" s="183">
        <f t="shared" si="13"/>
        <v>17241</v>
      </c>
      <c r="H91" s="181">
        <f t="shared" si="11"/>
        <v>9.8401914329025245E-3</v>
      </c>
      <c r="J91" s="136"/>
      <c r="K91" s="136"/>
      <c r="M91" s="237">
        <f t="shared" si="12"/>
        <v>1.9490165046348633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29943</v>
      </c>
      <c r="D92" s="273">
        <f>SUM(D80:D91)</f>
        <v>435</v>
      </c>
      <c r="E92" s="183">
        <f>SUM(E80:E91)</f>
        <v>30378</v>
      </c>
      <c r="F92" s="183">
        <f>SUM(F80:F91)</f>
        <v>77999</v>
      </c>
      <c r="G92" s="183">
        <f>IF(ISERROR(E92+F92),"",(E92+F92))</f>
        <v>108377</v>
      </c>
      <c r="H92" s="181">
        <f t="shared" si="11"/>
        <v>6.1855485582256071E-2</v>
      </c>
      <c r="J92" s="136"/>
      <c r="K92" s="136"/>
      <c r="M92" s="237">
        <f t="shared" si="12"/>
        <v>12.251526113497626</v>
      </c>
      <c r="N92" s="243">
        <f>SUMMARY!M92</f>
        <v>10.36414021133649</v>
      </c>
      <c r="O92" s="238">
        <f>M92/N92-1</f>
        <v>0.18210733005104252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'[1]Sch C'!D93</f>
        <v>9731</v>
      </c>
      <c r="D95" s="273">
        <f>'[1]Sch C'!F93</f>
        <v>0</v>
      </c>
      <c r="E95" s="180">
        <f t="shared" ref="E95:E100" si="14">SUM(C95:D95)</f>
        <v>9731</v>
      </c>
      <c r="F95" s="180">
        <v>34652</v>
      </c>
      <c r="G95" s="180">
        <f t="shared" ref="G95:G101" si="15">IF(ISERROR(E95+F95),"",(E95+F95))</f>
        <v>44383</v>
      </c>
      <c r="H95" s="181">
        <f t="shared" ref="H95:H101" si="16">IF(ISERROR(G95/$G$183),"",(G95/$G$183))</f>
        <v>2.5331315838206182E-2</v>
      </c>
      <c r="J95" s="261">
        <f>1349.27+2979</f>
        <v>4328.2700000000004</v>
      </c>
      <c r="K95" s="261">
        <f>1434.52333333333+3131</f>
        <v>4565.5233333333299</v>
      </c>
      <c r="M95" s="237">
        <f t="shared" ref="M95:M101" si="17">IFERROR(G95/G$198,0)</f>
        <v>5.0172959529730949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'[1]Sch C'!D94</f>
        <v>0</v>
      </c>
      <c r="D96" s="273">
        <f>'[1]Sch C'!F94</f>
        <v>995</v>
      </c>
      <c r="E96" s="180">
        <f t="shared" si="14"/>
        <v>995</v>
      </c>
      <c r="F96" s="183">
        <v>3321</v>
      </c>
      <c r="G96" s="183">
        <f t="shared" si="15"/>
        <v>4316</v>
      </c>
      <c r="H96" s="181">
        <f t="shared" si="16"/>
        <v>2.463329634267577E-3</v>
      </c>
      <c r="J96" s="136"/>
      <c r="K96" s="136"/>
      <c r="M96" s="237">
        <f t="shared" si="17"/>
        <v>0.48790413746326022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'[1]Sch C'!D95</f>
        <v>1162</v>
      </c>
      <c r="D97" s="273">
        <f>'[1]Sch C'!F95</f>
        <v>0</v>
      </c>
      <c r="E97" s="180">
        <f t="shared" si="14"/>
        <v>1162</v>
      </c>
      <c r="F97" s="183">
        <v>2570</v>
      </c>
      <c r="G97" s="183">
        <f t="shared" si="15"/>
        <v>3732</v>
      </c>
      <c r="H97" s="181">
        <f t="shared" si="16"/>
        <v>2.1300153371377659E-3</v>
      </c>
      <c r="J97" s="136"/>
      <c r="K97" s="136"/>
      <c r="M97" s="237">
        <f t="shared" si="17"/>
        <v>0.42188559801040015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'[1]Sch C'!D96</f>
        <v>27076</v>
      </c>
      <c r="D98" s="273">
        <f>'[1]Sch C'!F96</f>
        <v>0</v>
      </c>
      <c r="E98" s="180">
        <f t="shared" si="14"/>
        <v>27076</v>
      </c>
      <c r="F98" s="183">
        <v>55295</v>
      </c>
      <c r="G98" s="183">
        <f t="shared" si="15"/>
        <v>82371</v>
      </c>
      <c r="H98" s="181">
        <f t="shared" si="16"/>
        <v>4.7012725974109035E-2</v>
      </c>
      <c r="J98" s="136"/>
      <c r="K98" s="136"/>
      <c r="M98" s="237">
        <f t="shared" si="17"/>
        <v>9.3116662898485192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'[1]Sch C'!D97</f>
        <v>1384</v>
      </c>
      <c r="D99" s="273">
        <f>'[1]Sch C'!F97</f>
        <v>0</v>
      </c>
      <c r="E99" s="180">
        <f t="shared" si="14"/>
        <v>1384</v>
      </c>
      <c r="F99" s="183">
        <v>4533</v>
      </c>
      <c r="G99" s="183">
        <f t="shared" si="15"/>
        <v>5917</v>
      </c>
      <c r="H99" s="181">
        <f t="shared" si="16"/>
        <v>3.3770902330772135E-3</v>
      </c>
      <c r="J99" s="136"/>
      <c r="K99" s="136"/>
      <c r="M99" s="237">
        <f t="shared" si="17"/>
        <v>0.66888989373728236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'[1]Sch C'!D98</f>
        <v>365</v>
      </c>
      <c r="D100" s="273">
        <f>'[1]Sch C'!F98</f>
        <v>0</v>
      </c>
      <c r="E100" s="180">
        <f t="shared" si="14"/>
        <v>365</v>
      </c>
      <c r="F100" s="183">
        <v>230</v>
      </c>
      <c r="G100" s="183">
        <f t="shared" si="15"/>
        <v>595</v>
      </c>
      <c r="H100" s="181">
        <f t="shared" si="16"/>
        <v>3.3959247738396856E-4</v>
      </c>
      <c r="J100" s="136"/>
      <c r="K100" s="136"/>
      <c r="M100" s="237">
        <f t="shared" si="17"/>
        <v>6.7262039339814603E-2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39718</v>
      </c>
      <c r="D101" s="273">
        <f>SUM(D95:D100)</f>
        <v>995</v>
      </c>
      <c r="E101" s="183">
        <f>SUM(E95:E100)</f>
        <v>40713</v>
      </c>
      <c r="F101" s="183">
        <f>SUM(F95:F100)</f>
        <v>100601</v>
      </c>
      <c r="G101" s="183">
        <f t="shared" si="15"/>
        <v>141314</v>
      </c>
      <c r="H101" s="181">
        <f t="shared" si="16"/>
        <v>8.0654069494181746E-2</v>
      </c>
      <c r="J101" s="136"/>
      <c r="K101" s="136"/>
      <c r="M101" s="237">
        <f t="shared" si="17"/>
        <v>15.974903911372373</v>
      </c>
      <c r="N101" s="243">
        <f>SUMMARY!M101</f>
        <v>14.116295917008408</v>
      </c>
      <c r="O101" s="238">
        <f>M101/N101-1</f>
        <v>0.13166400061963635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'[1]Sch C'!D102</f>
        <v>12432</v>
      </c>
      <c r="D104" s="273">
        <f>'[1]Sch C'!F102</f>
        <v>0</v>
      </c>
      <c r="E104" s="180">
        <f t="shared" ref="E104:E109" si="18">SUM(C104:D104)</f>
        <v>12432</v>
      </c>
      <c r="F104" s="180">
        <v>22179</v>
      </c>
      <c r="G104" s="180">
        <f t="shared" ref="G104:G110" si="19">IF(ISERROR(E104+F104),"",(E104+F104))</f>
        <v>34611</v>
      </c>
      <c r="H104" s="181">
        <f t="shared" ref="H104:H110" si="20">IF(ISERROR(G104/$G$183),"",(G104/$G$183))</f>
        <v>1.9754008797876532E-2</v>
      </c>
      <c r="J104" s="261">
        <f>705.75+1996</f>
        <v>2701.75</v>
      </c>
      <c r="K104" s="261">
        <f>752.696666666667+2108</f>
        <v>2860.6966666666672</v>
      </c>
      <c r="M104" s="237">
        <f t="shared" ref="M104:M110" si="21">IFERROR(G104/G$198,0)</f>
        <v>3.9126158715803752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'[1]Sch C'!D103</f>
        <v>0</v>
      </c>
      <c r="D105" s="273">
        <f>'[1]Sch C'!F103</f>
        <v>1271</v>
      </c>
      <c r="E105" s="180">
        <f t="shared" si="18"/>
        <v>1271</v>
      </c>
      <c r="F105" s="183">
        <v>2312</v>
      </c>
      <c r="G105" s="183">
        <f t="shared" si="19"/>
        <v>3583</v>
      </c>
      <c r="H105" s="181">
        <f t="shared" si="20"/>
        <v>2.0449745318769064E-3</v>
      </c>
      <c r="J105" s="136"/>
      <c r="K105" s="136"/>
      <c r="M105" s="237">
        <f t="shared" si="21"/>
        <v>0.40504182681437939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'[1]Sch C'!D104</f>
        <v>0</v>
      </c>
      <c r="D106" s="273">
        <f>'[1]Sch C'!F104</f>
        <v>0</v>
      </c>
      <c r="E106" s="180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'[1]Sch C'!D105</f>
        <v>0</v>
      </c>
      <c r="D107" s="273">
        <f>'[1]Sch C'!F105</f>
        <v>0</v>
      </c>
      <c r="E107" s="180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'[1]Sch C'!D106</f>
        <v>1603</v>
      </c>
      <c r="D108" s="273">
        <f>'[1]Sch C'!F106</f>
        <v>0</v>
      </c>
      <c r="E108" s="180">
        <f t="shared" si="18"/>
        <v>1603</v>
      </c>
      <c r="F108" s="183">
        <v>1039</v>
      </c>
      <c r="G108" s="183">
        <f t="shared" si="19"/>
        <v>2642</v>
      </c>
      <c r="H108" s="181">
        <f t="shared" si="20"/>
        <v>1.5079047483167142E-3</v>
      </c>
      <c r="J108" s="136"/>
      <c r="K108" s="136"/>
      <c r="M108" s="237">
        <f t="shared" si="21"/>
        <v>0.29866606375763055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'[1]Sch C'!D107</f>
        <v>0</v>
      </c>
      <c r="D109" s="273">
        <f>'[1]Sch C'!F107</f>
        <v>0</v>
      </c>
      <c r="E109" s="180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14035</v>
      </c>
      <c r="D110" s="273">
        <f>SUM(D104:D109)</f>
        <v>1271</v>
      </c>
      <c r="E110" s="183">
        <f>SUM(E104:E109)</f>
        <v>15306</v>
      </c>
      <c r="F110" s="183">
        <f>SUM(F104:F109)</f>
        <v>25530</v>
      </c>
      <c r="G110" s="183">
        <f t="shared" si="19"/>
        <v>40836</v>
      </c>
      <c r="H110" s="181">
        <f t="shared" si="20"/>
        <v>2.3306888078070152E-2</v>
      </c>
      <c r="J110" s="136"/>
      <c r="K110" s="136"/>
      <c r="M110" s="237">
        <f t="shared" si="21"/>
        <v>4.6163237621523852</v>
      </c>
      <c r="N110" s="243">
        <f>SUMMARY!M110</f>
        <v>2.6822243142585545</v>
      </c>
      <c r="O110" s="238">
        <f>M110/N110-1</f>
        <v>0.72108042478485723</v>
      </c>
      <c r="P110" s="178">
        <f>IF(O110&gt;=0.2,0.2,0)</f>
        <v>0.2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'[1]Sch C'!D121</f>
        <v>0</v>
      </c>
      <c r="D113" s="273">
        <f>'[1]Sch C'!F121</f>
        <v>0</v>
      </c>
      <c r="E113" s="180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'[1]Sch C'!D122</f>
        <v>0</v>
      </c>
      <c r="D114" s="273">
        <f>'[1]Sch C'!F122</f>
        <v>0</v>
      </c>
      <c r="E114" s="180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'[1]Sch C'!D123</f>
        <v>3566</v>
      </c>
      <c r="D115" s="273">
        <f>'[1]Sch C'!F123</f>
        <v>0</v>
      </c>
      <c r="E115" s="180">
        <f t="shared" si="22"/>
        <v>3566</v>
      </c>
      <c r="F115" s="183">
        <v>0</v>
      </c>
      <c r="G115" s="183">
        <f t="shared" si="23"/>
        <v>3566</v>
      </c>
      <c r="H115" s="181">
        <f t="shared" si="24"/>
        <v>2.0352718896659359E-3</v>
      </c>
      <c r="J115" s="136"/>
      <c r="K115" s="136"/>
      <c r="M115" s="237">
        <f t="shared" si="25"/>
        <v>0.40312005426181324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'[1]Sch C'!D124</f>
        <v>0</v>
      </c>
      <c r="D116" s="273">
        <f>'[1]Sch C'!F124</f>
        <v>0</v>
      </c>
      <c r="E116" s="180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'[1]Sch C'!D125</f>
        <v>0</v>
      </c>
      <c r="D117" s="273">
        <f>'[1]Sch C'!F125</f>
        <v>0</v>
      </c>
      <c r="E117" s="180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3566</v>
      </c>
      <c r="D118" s="273">
        <f>SUM(D113:D117)</f>
        <v>0</v>
      </c>
      <c r="E118" s="183">
        <f>SUM(E113:E117)</f>
        <v>3566</v>
      </c>
      <c r="F118" s="183">
        <f>SUM(F113:F117)</f>
        <v>0</v>
      </c>
      <c r="G118" s="183">
        <f t="shared" si="23"/>
        <v>3566</v>
      </c>
      <c r="H118" s="181">
        <f t="shared" si="24"/>
        <v>2.0352718896659359E-3</v>
      </c>
      <c r="J118" s="136"/>
      <c r="K118" s="136"/>
      <c r="M118" s="237">
        <f t="shared" si="25"/>
        <v>0.40312005426181324</v>
      </c>
      <c r="N118" s="243">
        <f>SUMMARY!M118</f>
        <v>3.1676887539780583</v>
      </c>
      <c r="O118" s="238">
        <f>M118/N118-1</f>
        <v>-0.87274000523076467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'[1]Sch C'!D129</f>
        <v>30375</v>
      </c>
      <c r="D121" s="273">
        <f>'[1]Sch C'!F129</f>
        <v>0</v>
      </c>
      <c r="E121" s="180">
        <f t="shared" ref="E121:E131" si="26">SUM(C121:D121)</f>
        <v>30375</v>
      </c>
      <c r="F121" s="180">
        <v>65142</v>
      </c>
      <c r="G121" s="180">
        <f>IF(ISERROR(E121+F121),"",(E121+F121))</f>
        <v>95517</v>
      </c>
      <c r="H121" s="181">
        <f>IF(ISERROR(G121/$G$183),"",(G121/$G$183))</f>
        <v>5.4515722121486601E-2</v>
      </c>
      <c r="J121" s="261">
        <f>689.333333333333+2703</f>
        <v>3392.333333333333</v>
      </c>
      <c r="K121" s="261">
        <f>713.333333333333+2863</f>
        <v>3576.333333333333</v>
      </c>
      <c r="M121" s="237">
        <f t="shared" ref="M121:M131" si="27">IFERROR(G121/G$198,0)</f>
        <v>10.797761700203482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'[1]Sch C'!D130</f>
        <v>0</v>
      </c>
      <c r="D122" s="273">
        <f>'[1]Sch C'!F130</f>
        <v>3105</v>
      </c>
      <c r="E122" s="180">
        <f t="shared" si="26"/>
        <v>3105</v>
      </c>
      <c r="F122" s="180">
        <v>6577</v>
      </c>
      <c r="G122" s="180">
        <f t="shared" ref="G122:G131" si="28">IF(ISERROR(E122+F122),"",(E122+F122))</f>
        <v>9682</v>
      </c>
      <c r="H122" s="181">
        <f t="shared" ref="H122:H131" si="29">IF(ISERROR(G122/$G$183),"",(G122/$G$183))</f>
        <v>5.5259401109774521E-3</v>
      </c>
      <c r="J122" s="136"/>
      <c r="K122" s="136"/>
      <c r="M122" s="237">
        <f t="shared" si="27"/>
        <v>1.0945059914085462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'[1]Sch C'!D131</f>
        <v>6234</v>
      </c>
      <c r="D123" s="273">
        <f>'[1]Sch C'!F131</f>
        <v>0</v>
      </c>
      <c r="E123" s="180">
        <f t="shared" si="26"/>
        <v>6234</v>
      </c>
      <c r="F123" s="180">
        <v>9831</v>
      </c>
      <c r="G123" s="180">
        <f t="shared" si="28"/>
        <v>16065</v>
      </c>
      <c r="H123" s="181">
        <f t="shared" si="29"/>
        <v>9.1689968893671515E-3</v>
      </c>
      <c r="J123" s="261">
        <f>1015.66666666667+835</f>
        <v>1850.6666666666702</v>
      </c>
      <c r="K123" s="261">
        <f>1049+935</f>
        <v>1984</v>
      </c>
      <c r="M123" s="237">
        <f t="shared" si="27"/>
        <v>1.8160750621749944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'[1]Sch C'!D132</f>
        <v>0</v>
      </c>
      <c r="D124" s="273">
        <f>'[1]Sch C'!F132</f>
        <v>637</v>
      </c>
      <c r="E124" s="180">
        <f t="shared" si="26"/>
        <v>637</v>
      </c>
      <c r="F124" s="180">
        <v>993</v>
      </c>
      <c r="G124" s="180">
        <f t="shared" si="28"/>
        <v>1630</v>
      </c>
      <c r="H124" s="181">
        <f t="shared" si="29"/>
        <v>9.3031216493423324E-4</v>
      </c>
      <c r="J124" s="136"/>
      <c r="K124" s="136"/>
      <c r="M124" s="237">
        <f t="shared" si="27"/>
        <v>0.18426407415781143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'[1]Sch C'!D133</f>
        <v>0</v>
      </c>
      <c r="D125" s="273">
        <f>'[1]Sch C'!F133</f>
        <v>0</v>
      </c>
      <c r="E125" s="180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'[1]Sch C'!D134</f>
        <v>1512</v>
      </c>
      <c r="D126" s="273">
        <f>'[1]Sch C'!F134</f>
        <v>0</v>
      </c>
      <c r="E126" s="180">
        <f t="shared" si="26"/>
        <v>1512</v>
      </c>
      <c r="F126" s="180">
        <v>2867</v>
      </c>
      <c r="G126" s="180">
        <f t="shared" si="28"/>
        <v>4379</v>
      </c>
      <c r="H126" s="181">
        <f t="shared" si="29"/>
        <v>2.4992864848141149E-3</v>
      </c>
      <c r="J126" s="136"/>
      <c r="K126" s="136"/>
      <c r="M126" s="237">
        <f t="shared" si="27"/>
        <v>0.49502600045218176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'[1]Sch C'!D135</f>
        <v>0</v>
      </c>
      <c r="D127" s="273">
        <f>'[1]Sch C'!F135</f>
        <v>0</v>
      </c>
      <c r="E127" s="180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'[1]Sch C'!D136</f>
        <v>0</v>
      </c>
      <c r="D128" s="273">
        <f>'[1]Sch C'!F136</f>
        <v>0</v>
      </c>
      <c r="E128" s="180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'[1]Sch C'!D137</f>
        <v>3954</v>
      </c>
      <c r="D129" s="273">
        <f>'[1]Sch C'!F137</f>
        <v>0</v>
      </c>
      <c r="E129" s="180">
        <f t="shared" si="26"/>
        <v>3954</v>
      </c>
      <c r="F129" s="180">
        <v>13776</v>
      </c>
      <c r="G129" s="180">
        <f t="shared" si="28"/>
        <v>17730</v>
      </c>
      <c r="H129" s="181">
        <f t="shared" si="29"/>
        <v>1.0119285082382795E-2</v>
      </c>
      <c r="J129" s="136"/>
      <c r="K129" s="136"/>
      <c r="M129" s="237">
        <f t="shared" si="27"/>
        <v>2.0042957268822068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'[1]Sch C'!D138</f>
        <v>0</v>
      </c>
      <c r="D130" s="273">
        <f>'[1]Sch C'!F138</f>
        <v>0</v>
      </c>
      <c r="E130" s="180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'[1]Sch C'!D139</f>
        <v>0</v>
      </c>
      <c r="D131" s="273">
        <f>'[1]Sch C'!F139</f>
        <v>0</v>
      </c>
      <c r="E131" s="180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235">
        <v>440.1</v>
      </c>
      <c r="B133" s="42" t="s">
        <v>235</v>
      </c>
      <c r="C133" s="273">
        <f>'[1]Sch C'!D141</f>
        <v>0</v>
      </c>
      <c r="D133" s="273">
        <f>'[1]Sch C'!F141</f>
        <v>0</v>
      </c>
      <c r="E133" s="180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235">
        <v>440.2</v>
      </c>
      <c r="B134" s="42" t="s">
        <v>236</v>
      </c>
      <c r="C134" s="273">
        <f>'[1]Sch C'!D142</f>
        <v>0</v>
      </c>
      <c r="D134" s="273">
        <f>'[1]Sch C'!F142</f>
        <v>0</v>
      </c>
      <c r="E134" s="180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235">
        <v>440.3</v>
      </c>
      <c r="B135" s="42" t="s">
        <v>237</v>
      </c>
      <c r="C135" s="273">
        <f>'[1]Sch C'!D143</f>
        <v>0</v>
      </c>
      <c r="D135" s="273">
        <f>'[1]Sch C'!F143</f>
        <v>0</v>
      </c>
      <c r="E135" s="180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235">
        <v>440.4</v>
      </c>
      <c r="B136" s="42" t="s">
        <v>238</v>
      </c>
      <c r="C136" s="273">
        <f>'[1]Sch C'!D144</f>
        <v>0</v>
      </c>
      <c r="D136" s="273">
        <f>'[1]Sch C'!F144</f>
        <v>0</v>
      </c>
      <c r="E136" s="180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235">
        <v>440.5</v>
      </c>
      <c r="B137" s="42" t="s">
        <v>239</v>
      </c>
      <c r="C137" s="273">
        <f>'[1]Sch C'!D145</f>
        <v>0</v>
      </c>
      <c r="D137" s="273">
        <f>'[1]Sch C'!F145</f>
        <v>0</v>
      </c>
      <c r="E137" s="180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'[1]Sch C'!D146</f>
        <v>0</v>
      </c>
      <c r="D138" s="273">
        <f>'[1]Sch C'!F146</f>
        <v>0</v>
      </c>
      <c r="E138" s="180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42075</v>
      </c>
      <c r="D139" s="273">
        <f>SUM(D121:D138)</f>
        <v>3742</v>
      </c>
      <c r="E139" s="182">
        <f>SUM(E121:E138)</f>
        <v>45817</v>
      </c>
      <c r="F139" s="182">
        <f>SUM(F121:F138)</f>
        <v>99186</v>
      </c>
      <c r="G139" s="183">
        <f t="shared" si="33"/>
        <v>145003</v>
      </c>
      <c r="H139" s="181">
        <f t="shared" si="31"/>
        <v>8.2759542853962351E-2</v>
      </c>
      <c r="J139" s="136"/>
      <c r="K139" s="136"/>
      <c r="M139" s="237">
        <f t="shared" si="32"/>
        <v>16.391928555279222</v>
      </c>
      <c r="N139" s="243">
        <f>SUMMARY!M139</f>
        <v>37.231450929246826</v>
      </c>
      <c r="O139" s="238">
        <f>M139/N139-1</f>
        <v>-0.55972898863302989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'[1]Sch C'!D150</f>
        <v>0</v>
      </c>
      <c r="D142" s="273">
        <f>'[1]Sch C'!F150</f>
        <v>0</v>
      </c>
      <c r="E142" s="180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'[1]Sch C'!D151</f>
        <v>0</v>
      </c>
      <c r="D143" s="273">
        <f>'[1]Sch C'!F151</f>
        <v>0</v>
      </c>
      <c r="E143" s="180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'[1]Sch C'!D152</f>
        <v>0</v>
      </c>
      <c r="D144" s="273">
        <f>'[1]Sch C'!F152</f>
        <v>0</v>
      </c>
      <c r="E144" s="180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'[1]Sch C'!D153</f>
        <v>0</v>
      </c>
      <c r="D145" s="273">
        <f>'[1]Sch C'!F153</f>
        <v>0</v>
      </c>
      <c r="E145" s="180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'[1]Sch C'!D154</f>
        <v>1380</v>
      </c>
      <c r="D146" s="273">
        <f>'[1]Sch C'!F154</f>
        <v>0</v>
      </c>
      <c r="E146" s="180">
        <f t="shared" si="34"/>
        <v>1380</v>
      </c>
      <c r="F146" s="183">
        <v>1990</v>
      </c>
      <c r="G146" s="183">
        <f t="shared" si="35"/>
        <v>3370</v>
      </c>
      <c r="H146" s="181">
        <f t="shared" si="36"/>
        <v>1.9234061324100405E-3</v>
      </c>
      <c r="J146" s="136"/>
      <c r="K146" s="136"/>
      <c r="M146" s="237">
        <f t="shared" si="37"/>
        <v>0.38096314718516844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1380</v>
      </c>
      <c r="D147" s="273">
        <f>SUM(D142:D146)</f>
        <v>0</v>
      </c>
      <c r="E147" s="183">
        <f>SUM(E142:E146)</f>
        <v>1380</v>
      </c>
      <c r="F147" s="183">
        <f>SUM(F142:F146)</f>
        <v>1990</v>
      </c>
      <c r="G147" s="183">
        <f t="shared" si="35"/>
        <v>3370</v>
      </c>
      <c r="H147" s="204">
        <f t="shared" si="36"/>
        <v>1.9234061324100405E-3</v>
      </c>
      <c r="J147" s="136"/>
      <c r="K147" s="136"/>
      <c r="M147" s="237">
        <f t="shared" si="37"/>
        <v>0.38096314718516844</v>
      </c>
      <c r="N147" s="243">
        <f>SUMMARY!M147</f>
        <v>3.5319826687546212</v>
      </c>
      <c r="O147" s="238">
        <f>M147/N147-1</f>
        <v>-0.89213901003667828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'[1]Sch C'!D158</f>
        <v>173017</v>
      </c>
      <c r="D150" s="273">
        <f>'[1]Sch C'!F158</f>
        <v>0</v>
      </c>
      <c r="E150" s="180">
        <f t="shared" ref="E150:E163" si="38">SUM(C150:D150)</f>
        <v>173017</v>
      </c>
      <c r="F150" s="183">
        <v>306836</v>
      </c>
      <c r="G150" s="183">
        <f>IF(ISERROR(E150+F150),"",(E150+F150))</f>
        <v>479853</v>
      </c>
      <c r="H150" s="181">
        <f>IF(ISERROR(G150/$G$183),"",(G150/$G$183))</f>
        <v>0.27387305722710836</v>
      </c>
      <c r="J150" s="261">
        <f>13210.4333333333+23614</f>
        <v>36824.433333333298</v>
      </c>
      <c r="K150" s="261">
        <f>13752.3633333333+24881</f>
        <v>38633.363333333298</v>
      </c>
      <c r="M150" s="237">
        <f t="shared" ref="M150:M164" si="39">IFERROR(G150/G$198,0)</f>
        <v>54.245195568618584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'[1]Sch C'!D159</f>
        <v>0</v>
      </c>
      <c r="D151" s="273">
        <f>'[1]Sch C'!F159</f>
        <v>17684</v>
      </c>
      <c r="E151" s="180">
        <f t="shared" si="38"/>
        <v>17684</v>
      </c>
      <c r="F151" s="183">
        <v>30337</v>
      </c>
      <c r="G151" s="183">
        <f>IF(ISERROR(E151+F151),"",(E151+F151))</f>
        <v>48021</v>
      </c>
      <c r="H151" s="181">
        <f>IF(ISERROR(G151/$G$183),"",(G151/$G$183))</f>
        <v>2.7407681271353873E-2</v>
      </c>
      <c r="J151" s="136"/>
      <c r="K151" s="136"/>
      <c r="M151" s="237">
        <f t="shared" si="39"/>
        <v>5.4285552792222473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'[1]Sch C'!D160</f>
        <v>0</v>
      </c>
      <c r="D152" s="273">
        <f>'[1]Sch C'!F160</f>
        <v>0</v>
      </c>
      <c r="E152" s="180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'[1]Sch C'!D161</f>
        <v>0</v>
      </c>
      <c r="D153" s="273">
        <f>'[1]Sch C'!F161</f>
        <v>0</v>
      </c>
      <c r="E153" s="180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'[1]Sch C'!D162</f>
        <v>675</v>
      </c>
      <c r="D154" s="273">
        <f>'[1]Sch C'!F162</f>
        <v>0</v>
      </c>
      <c r="E154" s="180">
        <f t="shared" si="38"/>
        <v>675</v>
      </c>
      <c r="F154" s="183">
        <v>450</v>
      </c>
      <c r="G154" s="183">
        <f t="shared" si="40"/>
        <v>1125</v>
      </c>
      <c r="H154" s="181">
        <f t="shared" si="41"/>
        <v>6.4208661690246156E-4</v>
      </c>
      <c r="J154" s="206"/>
      <c r="K154" s="206"/>
      <c r="M154" s="237">
        <f t="shared" si="39"/>
        <v>0.12717612480217047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'[1]Sch C'!D163</f>
        <v>600</v>
      </c>
      <c r="D155" s="273">
        <f>'[1]Sch C'!F163</f>
        <v>0</v>
      </c>
      <c r="E155" s="180">
        <f t="shared" si="38"/>
        <v>600</v>
      </c>
      <c r="F155" s="183">
        <v>675</v>
      </c>
      <c r="G155" s="183">
        <f t="shared" si="40"/>
        <v>1275</v>
      </c>
      <c r="H155" s="181">
        <f t="shared" si="41"/>
        <v>7.2769816582278978E-4</v>
      </c>
      <c r="J155" s="206"/>
      <c r="K155" s="206"/>
      <c r="M155" s="237">
        <f t="shared" si="39"/>
        <v>0.14413294144245986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'[1]Sch C'!D164</f>
        <v>0</v>
      </c>
      <c r="D156" s="273">
        <f>'[1]Sch C'!F164</f>
        <v>0</v>
      </c>
      <c r="E156" s="180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'[1]Sch C'!D165</f>
        <v>483</v>
      </c>
      <c r="D157" s="273">
        <f>'[1]Sch C'!F165</f>
        <v>0</v>
      </c>
      <c r="E157" s="180">
        <f t="shared" si="38"/>
        <v>483</v>
      </c>
      <c r="F157" s="183">
        <v>825</v>
      </c>
      <c r="G157" s="183">
        <f t="shared" si="40"/>
        <v>1308</v>
      </c>
      <c r="H157" s="181">
        <f t="shared" si="41"/>
        <v>7.4653270658526203E-4</v>
      </c>
      <c r="J157" s="206"/>
      <c r="K157" s="206"/>
      <c r="M157" s="237">
        <f t="shared" si="39"/>
        <v>0.14786344110332353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'[1]Sch C'!D166</f>
        <v>769</v>
      </c>
      <c r="D158" s="273">
        <f>'[1]Sch C'!F166</f>
        <v>0</v>
      </c>
      <c r="E158" s="180">
        <f t="shared" si="38"/>
        <v>769</v>
      </c>
      <c r="F158" s="183">
        <v>633</v>
      </c>
      <c r="G158" s="183">
        <f t="shared" si="40"/>
        <v>1402</v>
      </c>
      <c r="H158" s="181">
        <f t="shared" si="41"/>
        <v>8.001826105753343E-4</v>
      </c>
      <c r="J158" s="206"/>
      <c r="K158" s="206"/>
      <c r="M158" s="237">
        <f t="shared" si="39"/>
        <v>0.15848971286457156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'[1]Sch C'!D167</f>
        <v>2264</v>
      </c>
      <c r="D159" s="273">
        <f>'[1]Sch C'!F167</f>
        <v>0</v>
      </c>
      <c r="E159" s="180">
        <f t="shared" si="38"/>
        <v>2264</v>
      </c>
      <c r="F159" s="183">
        <v>0</v>
      </c>
      <c r="G159" s="183">
        <f t="shared" si="40"/>
        <v>2264</v>
      </c>
      <c r="H159" s="181">
        <f t="shared" si="41"/>
        <v>1.2921636450374872E-3</v>
      </c>
      <c r="J159" s="206"/>
      <c r="K159" s="206"/>
      <c r="M159" s="237">
        <f t="shared" si="39"/>
        <v>0.25593488582410129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'[1]Sch C'!D168</f>
        <v>78283</v>
      </c>
      <c r="D160" s="273">
        <f>'[1]Sch C'!F168</f>
        <v>0</v>
      </c>
      <c r="E160" s="180">
        <f t="shared" si="38"/>
        <v>78283</v>
      </c>
      <c r="F160" s="183">
        <v>118132</v>
      </c>
      <c r="G160" s="183">
        <f t="shared" si="40"/>
        <v>196415</v>
      </c>
      <c r="H160" s="181">
        <f t="shared" si="41"/>
        <v>0.11210261587457511</v>
      </c>
      <c r="J160" s="136"/>
      <c r="K160" s="136"/>
      <c r="M160" s="237">
        <f t="shared" si="39"/>
        <v>22.203820936016278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'[1]Sch C'!D169</f>
        <v>57</v>
      </c>
      <c r="D161" s="273">
        <f>'[1]Sch C'!F169</f>
        <v>0</v>
      </c>
      <c r="E161" s="180">
        <f t="shared" si="38"/>
        <v>57</v>
      </c>
      <c r="F161" s="183">
        <v>0</v>
      </c>
      <c r="G161" s="183">
        <f t="shared" si="40"/>
        <v>57</v>
      </c>
      <c r="H161" s="181">
        <f t="shared" si="41"/>
        <v>3.2532388589724722E-5</v>
      </c>
      <c r="J161" s="136"/>
      <c r="K161" s="136"/>
      <c r="M161" s="237">
        <f t="shared" si="39"/>
        <v>6.4435903233099707E-3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'[1]Sch C'!D170</f>
        <v>828</v>
      </c>
      <c r="D162" s="273">
        <f>'[1]Sch C'!F170</f>
        <v>0</v>
      </c>
      <c r="E162" s="180">
        <f t="shared" si="38"/>
        <v>828</v>
      </c>
      <c r="F162" s="183">
        <v>2008</v>
      </c>
      <c r="G162" s="183">
        <f t="shared" si="40"/>
        <v>2836</v>
      </c>
      <c r="H162" s="181">
        <f t="shared" si="41"/>
        <v>1.6186290182536721E-3</v>
      </c>
      <c r="J162" s="136"/>
      <c r="K162" s="136"/>
      <c r="M162" s="237">
        <f t="shared" si="39"/>
        <v>0.32059687994573821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'[1]Sch C'!D171</f>
        <v>0</v>
      </c>
      <c r="D163" s="273">
        <f>'[1]Sch C'!F171</f>
        <v>0</v>
      </c>
      <c r="E163" s="180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256976</v>
      </c>
      <c r="D164" s="273">
        <f>SUM(D150:D163)</f>
        <v>17684</v>
      </c>
      <c r="E164" s="183">
        <f>SUM(E150:E163)</f>
        <v>274660</v>
      </c>
      <c r="F164" s="183">
        <f>SUM(F150:F163)</f>
        <v>459896</v>
      </c>
      <c r="G164" s="183">
        <f>IF(ISERROR(E164+F164),"",(E164+F164))</f>
        <v>734556</v>
      </c>
      <c r="H164" s="181">
        <f>IF(ISERROR(G164/$G$183),"",(G164/$G$183))</f>
        <v>0.41924317952480405</v>
      </c>
      <c r="J164" s="136"/>
      <c r="K164" s="136"/>
      <c r="M164" s="237">
        <f t="shared" si="39"/>
        <v>83.038209360162782</v>
      </c>
      <c r="N164" s="243">
        <f>SUMMARY!M164</f>
        <v>48.166333206280392</v>
      </c>
      <c r="O164" s="238">
        <f>M164/N164-1</f>
        <v>0.72398860018132871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'[1]Sch C'!D186</f>
        <v>0</v>
      </c>
      <c r="D167" s="273">
        <f>'[1]Sch C'!F186</f>
        <v>0</v>
      </c>
      <c r="E167" s="180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'[1]Sch C'!D187</f>
        <v>0</v>
      </c>
      <c r="D168" s="273">
        <f>'[1]Sch C'!F187</f>
        <v>0</v>
      </c>
      <c r="E168" s="180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'[1]Sch C'!D188</f>
        <v>0</v>
      </c>
      <c r="D169" s="273">
        <f>'[1]Sch C'!F188</f>
        <v>0</v>
      </c>
      <c r="E169" s="180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'[1]Sch C'!D189</f>
        <v>723</v>
      </c>
      <c r="D170" s="273">
        <f>'[1]Sch C'!F189</f>
        <v>0</v>
      </c>
      <c r="E170" s="180">
        <f t="shared" si="42"/>
        <v>723</v>
      </c>
      <c r="F170" s="183">
        <v>1103</v>
      </c>
      <c r="G170" s="183">
        <f>IF(ISERROR(E170+F170),"",(E170+F170))</f>
        <v>1826</v>
      </c>
      <c r="H170" s="181">
        <f>IF(ISERROR(G170/$G$183),"",(G170/$G$183))</f>
        <v>1.0421779221901288E-3</v>
      </c>
      <c r="I170" s="215"/>
      <c r="J170" s="211"/>
      <c r="K170" s="42"/>
      <c r="M170" s="237">
        <f t="shared" si="43"/>
        <v>0.20642098123445626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'[1]Sch C'!D190</f>
        <v>0</v>
      </c>
      <c r="D171" s="273">
        <f>'[1]Sch C'!F190</f>
        <v>0</v>
      </c>
      <c r="E171" s="180">
        <f t="shared" si="42"/>
        <v>0</v>
      </c>
      <c r="F171" s="183">
        <v>225</v>
      </c>
      <c r="G171" s="183">
        <f>IF(ISERROR(E171+F171),"",(E171+F171))</f>
        <v>225</v>
      </c>
      <c r="H171" s="181">
        <f>IF(ISERROR(G171/$G$183),"",(G171/$G$183))</f>
        <v>1.2841732338049231E-4</v>
      </c>
      <c r="I171" s="215"/>
      <c r="J171" s="211"/>
      <c r="K171" s="42"/>
      <c r="M171" s="237">
        <f t="shared" si="43"/>
        <v>2.5435224960434096E-2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'[1]Sch C'!D191</f>
        <v>4080</v>
      </c>
      <c r="D172" s="273">
        <f>'[1]Sch C'!F191</f>
        <v>0</v>
      </c>
      <c r="E172" s="180">
        <f t="shared" si="42"/>
        <v>4080</v>
      </c>
      <c r="F172" s="183">
        <v>6040</v>
      </c>
      <c r="G172" s="183">
        <f t="shared" ref="G172:G181" si="44">IF(ISERROR(E172+F172),"",(E172+F172))</f>
        <v>10120</v>
      </c>
      <c r="H172" s="181">
        <f t="shared" ref="H172:H180" si="45">IF(ISERROR(G172/$G$183),"",(G172/$G$183))</f>
        <v>5.7759258338248099E-3</v>
      </c>
      <c r="I172" s="215"/>
      <c r="J172" s="211"/>
      <c r="K172" s="42"/>
      <c r="M172" s="237">
        <f t="shared" si="43"/>
        <v>1.1440198959981913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'[1]Sch C'!D192</f>
        <v>0</v>
      </c>
      <c r="D173" s="273">
        <f>'[1]Sch C'!F192</f>
        <v>0</v>
      </c>
      <c r="E173" s="180">
        <f t="shared" si="42"/>
        <v>0</v>
      </c>
      <c r="F173" s="183">
        <v>155</v>
      </c>
      <c r="G173" s="183">
        <f t="shared" si="44"/>
        <v>155</v>
      </c>
      <c r="H173" s="181">
        <f t="shared" si="45"/>
        <v>8.8465267217672483E-5</v>
      </c>
      <c r="I173" s="215"/>
      <c r="J173" s="211"/>
      <c r="K173" s="42"/>
      <c r="M173" s="237">
        <f t="shared" si="43"/>
        <v>1.7522043861632378E-2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'[1]Sch C'!D193</f>
        <v>0</v>
      </c>
      <c r="D174" s="273">
        <f>'[1]Sch C'!F193</f>
        <v>0</v>
      </c>
      <c r="E174" s="180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'[1]Sch C'!D194</f>
        <v>0</v>
      </c>
      <c r="D175" s="273">
        <f>'[1]Sch C'!F194</f>
        <v>0</v>
      </c>
      <c r="E175" s="180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'[1]Sch C'!D195</f>
        <v>0</v>
      </c>
      <c r="D176" s="273">
        <f>'[1]Sch C'!F195</f>
        <v>0</v>
      </c>
      <c r="E176" s="180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'[1]Sch C'!D196</f>
        <v>0</v>
      </c>
      <c r="D177" s="273">
        <f>'[1]Sch C'!F196</f>
        <v>0</v>
      </c>
      <c r="E177" s="180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'[1]Sch C'!D197</f>
        <v>0</v>
      </c>
      <c r="D178" s="273">
        <f>'[1]Sch C'!F197</f>
        <v>0</v>
      </c>
      <c r="E178" s="180">
        <f t="shared" si="42"/>
        <v>0</v>
      </c>
      <c r="F178" s="183">
        <v>1350</v>
      </c>
      <c r="G178" s="183">
        <f t="shared" si="44"/>
        <v>1350</v>
      </c>
      <c r="H178" s="181">
        <f t="shared" si="45"/>
        <v>7.7050394028295389E-4</v>
      </c>
      <c r="I178" s="215"/>
      <c r="J178" s="211"/>
      <c r="K178" s="42"/>
      <c r="M178" s="237">
        <f t="shared" si="43"/>
        <v>0.15261134976260457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'[1]Sch C'!D198</f>
        <v>0</v>
      </c>
      <c r="D179" s="273">
        <f>'[1]Sch C'!F198</f>
        <v>0</v>
      </c>
      <c r="E179" s="180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'[1]Sch C'!D199</f>
        <v>0</v>
      </c>
      <c r="D180" s="273">
        <f>'[1]Sch C'!F199</f>
        <v>0</v>
      </c>
      <c r="E180" s="180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4803</v>
      </c>
      <c r="D181" s="273">
        <f>SUM(D167:D180)</f>
        <v>0</v>
      </c>
      <c r="E181" s="218">
        <f>SUM(E167:E180)</f>
        <v>4803</v>
      </c>
      <c r="F181" s="218">
        <f>SUM(F167:F180)</f>
        <v>8873</v>
      </c>
      <c r="G181" s="183">
        <f t="shared" si="44"/>
        <v>13676</v>
      </c>
      <c r="H181" s="181">
        <f>IF(ISERROR(G181/$G$183),"",(G181/$G$183))</f>
        <v>7.8054902868960573E-3</v>
      </c>
      <c r="I181" s="219"/>
      <c r="J181" s="211"/>
      <c r="K181" s="211"/>
      <c r="M181" s="237">
        <f t="shared" si="43"/>
        <v>1.5460094958173185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655957</v>
      </c>
      <c r="D183" s="273">
        <f>SUM(D21:D181)/2</f>
        <v>-1192.9400000000023</v>
      </c>
      <c r="E183" s="179">
        <f>SUM(E21:E181)/2</f>
        <v>654764.06000000006</v>
      </c>
      <c r="F183" s="179">
        <f>SUM(F21:F181)/2</f>
        <v>1097336</v>
      </c>
      <c r="G183" s="179">
        <f>SUM(G21:G181)/2</f>
        <v>1752100.06</v>
      </c>
      <c r="H183" s="181">
        <f>IF(ISERROR(G183/$G$183),"",(G183/$G$183))</f>
        <v>1</v>
      </c>
      <c r="J183" s="261">
        <f>SUM(J21:J181)</f>
        <v>52264.266666666634</v>
      </c>
      <c r="K183" s="261">
        <f>SUM(K21:K181)</f>
        <v>55126.916666666628</v>
      </c>
      <c r="M183" s="237">
        <f>IFERROR(G183/G$198,0)</f>
        <v>198.06692968573367</v>
      </c>
      <c r="N183" s="243">
        <f>SUMMARY!M183</f>
        <v>169.52310231129192</v>
      </c>
      <c r="P183" s="178">
        <f>SUM(P57:P181)</f>
        <v>5.8000000000000007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'[1]Sch C'!D204</f>
        <v>655957</v>
      </c>
      <c r="D186" s="28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5" t="s">
        <v>392</v>
      </c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285" t="s">
        <v>391</v>
      </c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-128115</v>
      </c>
      <c r="D190" s="273">
        <f>D17-D183</f>
        <v>3306.9400000000023</v>
      </c>
      <c r="E190" s="180">
        <f>E17-E183</f>
        <v>-124808.06000000006</v>
      </c>
      <c r="F190" s="180">
        <f>F17-F183</f>
        <v>-40361</v>
      </c>
      <c r="G190" s="180">
        <f>G17-G183</f>
        <v>-165169.06000000006</v>
      </c>
      <c r="J190" s="136"/>
      <c r="K190" s="136"/>
      <c r="M190" s="237">
        <f>IFERROR(G190/G$198,0)</f>
        <v>-18.671609767126391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'[1]Sch D'!C9</f>
        <v>2846</v>
      </c>
      <c r="D194" s="313"/>
      <c r="E194" s="225">
        <f>C194+D194</f>
        <v>2846</v>
      </c>
      <c r="F194" s="224">
        <v>5634</v>
      </c>
      <c r="G194" s="225">
        <f>E194+F194</f>
        <v>8480</v>
      </c>
      <c r="H194" s="181">
        <f>IF(ISERROR(G194/$G$198),"",(G194/$G$198))</f>
        <v>0.95862536739769388</v>
      </c>
      <c r="I194" s="43"/>
      <c r="J194" s="136"/>
      <c r="K194" s="136"/>
    </row>
    <row r="195" spans="1:11">
      <c r="A195" s="42"/>
      <c r="B195" s="116" t="s">
        <v>249</v>
      </c>
      <c r="C195" s="282">
        <f>'[1]Sch D'!D9</f>
        <v>123</v>
      </c>
      <c r="D195" s="313"/>
      <c r="E195" s="227">
        <f>C195+D195</f>
        <v>123</v>
      </c>
      <c r="F195" s="226">
        <v>243</v>
      </c>
      <c r="G195" s="227">
        <f>E195+F195</f>
        <v>366</v>
      </c>
      <c r="H195" s="181">
        <f>IF(ISERROR(G195/$G$198),"",(G195/$G$198))</f>
        <v>4.137463260230613E-2</v>
      </c>
      <c r="I195" s="43"/>
      <c r="J195" s="136"/>
      <c r="K195" s="136"/>
    </row>
    <row r="196" spans="1:11">
      <c r="A196" s="42"/>
      <c r="B196" s="116" t="s">
        <v>87</v>
      </c>
      <c r="C196" s="282">
        <f>'[1]Sch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2969</v>
      </c>
      <c r="D198" s="313"/>
      <c r="E198" s="229">
        <f>SUM(E194:E197)</f>
        <v>2969</v>
      </c>
      <c r="F198" s="229">
        <f>SUM(F194:F197)</f>
        <v>5877</v>
      </c>
      <c r="G198" s="229">
        <f>SUM(G194:G197)</f>
        <v>8846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'[1]Sch D'!G22</f>
        <v>26</v>
      </c>
      <c r="D201" s="312"/>
      <c r="E201" s="225">
        <f>C201+D201</f>
        <v>26</v>
      </c>
      <c r="F201" s="224"/>
      <c r="G201" s="231">
        <f t="shared" ref="G201:G202" si="46">E201+F201</f>
        <v>26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'[1]Sch D'!G24</f>
        <v>26</v>
      </c>
      <c r="D202" s="312"/>
      <c r="E202" s="225">
        <f>C202+D202</f>
        <v>26</v>
      </c>
      <c r="F202" s="226"/>
      <c r="G202" s="231">
        <f t="shared" si="46"/>
        <v>26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8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'[1]Sch D'!G28</f>
        <v>3198</v>
      </c>
      <c r="D205" s="283"/>
      <c r="E205" s="224">
        <f>E201*E203</f>
        <v>3198</v>
      </c>
      <c r="F205" s="224">
        <f>G201*F203</f>
        <v>6318</v>
      </c>
      <c r="G205" s="224">
        <f>G201*G203</f>
        <v>9516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'[1]Sch D'!G30</f>
        <v>0.92839274546591621</v>
      </c>
      <c r="D206" s="36"/>
      <c r="E206" s="233">
        <f>E198/E205</f>
        <v>0.92839274546591621</v>
      </c>
      <c r="F206" s="337">
        <f>IFERROR(F198/F205,"")</f>
        <v>0.93019943019943019</v>
      </c>
      <c r="G206" s="233">
        <f>G198/G205</f>
        <v>0.92959226565783948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'[1]Sch D'!G32</f>
        <v>0.92839274546591621</v>
      </c>
      <c r="D207" s="36"/>
      <c r="E207" s="233">
        <f>(E194+E195)/E205</f>
        <v>0.92839274546591621</v>
      </c>
      <c r="F207" s="337">
        <f>IFERROR(((F194+F195)/F205),"")</f>
        <v>0.93019943019943019</v>
      </c>
      <c r="G207" s="233">
        <f>(G194+G195)/G205</f>
        <v>0.92959226565783948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'[1]Sch D'!G34</f>
        <v>1</v>
      </c>
      <c r="D208" s="36"/>
      <c r="E208" s="233">
        <f>E207/E206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40" priority="2" stopIfTrue="1" operator="equal">
      <formula>0</formula>
    </cfRule>
  </conditionalFormatting>
  <conditionalFormatting sqref="C2">
    <cfRule type="cellIs" dxfId="39" priority="1" stopIfTrue="1" operator="equal">
      <formula>0</formula>
    </cfRule>
  </conditionalFormatting>
  <printOptions horizontalCentered="1" gridLinesSet="0"/>
  <pageMargins left="1" right="0.75" top="0.25" bottom="0.75" header="0.5" footer="0.5"/>
  <pageSetup scale="38" fitToHeight="4" orientation="landscape" horizontalDpi="4294967292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FF00"/>
    <pageSetUpPr fitToPage="1"/>
  </sheetPr>
  <dimension ref="A1:P213"/>
  <sheetViews>
    <sheetView showGridLines="0" topLeftCell="A186" zoomScaleNormal="10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</row>
    <row r="2" spans="1:16" ht="23" customHeight="1">
      <c r="A2" s="160" t="s">
        <v>388</v>
      </c>
      <c r="B2" s="161" t="s">
        <v>184</v>
      </c>
      <c r="C2" s="263" t="s">
        <v>364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'[10]Sch B'!E10</f>
        <v>2850896.27</v>
      </c>
      <c r="D12" s="273">
        <f>'[10]Sch B'!G10</f>
        <v>0</v>
      </c>
      <c r="E12" s="259">
        <f>SUM(C12:D12)</f>
        <v>2850896.27</v>
      </c>
      <c r="F12" s="180"/>
      <c r="G12" s="180">
        <f>IF(ISERROR(E12+F12)," ",(E12+F12))</f>
        <v>2850896.27</v>
      </c>
      <c r="H12" s="181">
        <f t="shared" ref="H12:H17" si="0">IF(ISERROR(G12/$G$17),"",(G12/$G$17))</f>
        <v>0.99943219948994289</v>
      </c>
      <c r="J12" s="246" t="s">
        <v>346</v>
      </c>
      <c r="K12" s="247">
        <f>G17</f>
        <v>2852515.93</v>
      </c>
      <c r="M12" s="237">
        <f>IFERROR(G12/G$194,0)</f>
        <v>144.98048565907243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'[10]Sch B'!E15</f>
        <v>0</v>
      </c>
      <c r="D13" s="273">
        <f>'[10]Sch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2776928.09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'[10]Sch B'!E20</f>
        <v>0</v>
      </c>
      <c r="D14" s="273">
        <f>'[10]Sch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19664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'[10]Sch B'!E25</f>
        <v>0</v>
      </c>
      <c r="D15" s="273">
        <f>'[10]Sch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54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'[10]Sch B'!E40</f>
        <v>1619.66</v>
      </c>
      <c r="D16" s="273">
        <f>'[10]Sch B'!G40</f>
        <v>0</v>
      </c>
      <c r="E16" s="259">
        <f t="shared" si="1"/>
        <v>1619.66</v>
      </c>
      <c r="F16" s="183"/>
      <c r="G16" s="183">
        <f>IF(ISERROR(E16+F16),"",(E16+F16))</f>
        <v>1619.66</v>
      </c>
      <c r="H16" s="184">
        <f t="shared" si="0"/>
        <v>5.6780051005709891E-4</v>
      </c>
      <c r="J16" s="248" t="s">
        <v>350</v>
      </c>
      <c r="K16" s="249">
        <f>G205</f>
        <v>19764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2852515.93</v>
      </c>
      <c r="D17" s="273">
        <f>SUM(D12:D16)</f>
        <v>0</v>
      </c>
      <c r="E17" s="183">
        <f>SUM(E12:E16)</f>
        <v>2852515.93</v>
      </c>
      <c r="F17" s="183">
        <f>SUM(F12:F16)</f>
        <v>0</v>
      </c>
      <c r="G17" s="183">
        <f>IF(ISERROR(E17+F17),"",(E17+F17))</f>
        <v>2852515.93</v>
      </c>
      <c r="H17" s="184">
        <f t="shared" si="0"/>
        <v>1</v>
      </c>
      <c r="J17" s="248"/>
      <c r="K17" s="249"/>
      <c r="M17" s="237">
        <f>IFERROR(G17/G$198,0)</f>
        <v>145.06285242066721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85333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86447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'[10]Sch C'!D10</f>
        <v>179192</v>
      </c>
      <c r="D21" s="273">
        <f>'[10]Sch C'!F10</f>
        <v>0</v>
      </c>
      <c r="E21" s="259">
        <f t="shared" ref="E21:E56" si="2">SUM(C21:D21)</f>
        <v>179192</v>
      </c>
      <c r="F21" s="180"/>
      <c r="G21" s="180">
        <f t="shared" ref="G21:G57" si="3">IF(ISERROR(E21+F21),"",(E21+F21))</f>
        <v>179192</v>
      </c>
      <c r="H21" s="181">
        <f>IF(ISERROR(G21/$G$183),"",(G21/$G$183))</f>
        <v>6.4528858577681064E-2</v>
      </c>
      <c r="J21" s="261">
        <v>2080</v>
      </c>
      <c r="K21" s="261">
        <v>2080</v>
      </c>
      <c r="M21" s="237">
        <f>IFERROR(G21/G$198,0)</f>
        <v>9.1126932465419035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'[10]Sch C'!D11</f>
        <v>0</v>
      </c>
      <c r="D22" s="273">
        <f>'[10]Sch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'[10]Sch C'!D12</f>
        <v>40432</v>
      </c>
      <c r="D23" s="273">
        <f>'[10]Sch C'!F12</f>
        <v>0</v>
      </c>
      <c r="E23" s="259">
        <f t="shared" si="2"/>
        <v>40432</v>
      </c>
      <c r="F23" s="183"/>
      <c r="G23" s="183">
        <f t="shared" si="3"/>
        <v>40432</v>
      </c>
      <c r="H23" s="181">
        <f t="shared" si="4"/>
        <v>1.4559973715415873E-2</v>
      </c>
      <c r="J23" s="189">
        <v>2040</v>
      </c>
      <c r="K23" s="189">
        <v>2080</v>
      </c>
      <c r="M23" s="237">
        <f t="shared" si="5"/>
        <v>2.0561432058584215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'[10]Sch C'!D13</f>
        <v>30129</v>
      </c>
      <c r="D24" s="273">
        <f>'[10]Sch C'!F13</f>
        <v>0</v>
      </c>
      <c r="E24" s="259">
        <f t="shared" si="2"/>
        <v>30129</v>
      </c>
      <c r="F24" s="183"/>
      <c r="G24" s="183">
        <f t="shared" si="3"/>
        <v>30129</v>
      </c>
      <c r="H24" s="181">
        <f t="shared" si="4"/>
        <v>1.0849758806681955E-2</v>
      </c>
      <c r="J24" s="136"/>
      <c r="K24" s="136"/>
      <c r="M24" s="237">
        <f t="shared" si="5"/>
        <v>1.5321908055329536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'[10]Sch C'!D14</f>
        <v>0</v>
      </c>
      <c r="D25" s="273">
        <f>'[10]Sch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'[10]Sch C'!D15</f>
        <v>0</v>
      </c>
      <c r="D26" s="273">
        <f>'[10]Sch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'[10]Sch C'!D16</f>
        <v>0</v>
      </c>
      <c r="D27" s="273">
        <f>'[10]Sch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'[10]Sch C'!D17</f>
        <v>1598</v>
      </c>
      <c r="D28" s="273">
        <f>'[10]Sch C'!F17</f>
        <v>0</v>
      </c>
      <c r="E28" s="259">
        <f t="shared" si="2"/>
        <v>1598</v>
      </c>
      <c r="F28" s="183"/>
      <c r="G28" s="183">
        <f t="shared" si="3"/>
        <v>1598</v>
      </c>
      <c r="H28" s="181">
        <f t="shared" si="4"/>
        <v>5.7545602486235069E-4</v>
      </c>
      <c r="J28" s="136"/>
      <c r="K28" s="136"/>
      <c r="M28" s="237">
        <f t="shared" si="5"/>
        <v>8.1265256305939795E-2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'[10]Sch C'!D18</f>
        <v>9453</v>
      </c>
      <c r="D29" s="273">
        <f>'[10]Sch C'!F18</f>
        <v>0</v>
      </c>
      <c r="E29" s="259">
        <f t="shared" si="2"/>
        <v>9453</v>
      </c>
      <c r="F29" s="183"/>
      <c r="G29" s="183">
        <f t="shared" si="3"/>
        <v>9453</v>
      </c>
      <c r="H29" s="181">
        <f t="shared" si="4"/>
        <v>3.4041212784879857E-3</v>
      </c>
      <c r="J29" s="136"/>
      <c r="K29" s="136"/>
      <c r="M29" s="237">
        <f t="shared" si="5"/>
        <v>0.48072620016273393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'[10]Sch C'!D19</f>
        <v>9389</v>
      </c>
      <c r="D30" s="273">
        <f>'[10]Sch C'!F19</f>
        <v>0</v>
      </c>
      <c r="E30" s="259">
        <f t="shared" si="2"/>
        <v>9389</v>
      </c>
      <c r="F30" s="183"/>
      <c r="G30" s="183">
        <f t="shared" si="3"/>
        <v>9389</v>
      </c>
      <c r="H30" s="181">
        <f t="shared" si="4"/>
        <v>3.3810742286812332E-3</v>
      </c>
      <c r="J30" s="136"/>
      <c r="K30" s="136"/>
      <c r="M30" s="237">
        <f t="shared" si="5"/>
        <v>0.4774715215622457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'[10]Sch C'!D20</f>
        <v>11376</v>
      </c>
      <c r="D31" s="273">
        <f>'[10]Sch C'!F20</f>
        <v>0</v>
      </c>
      <c r="E31" s="259">
        <f t="shared" si="2"/>
        <v>11376</v>
      </c>
      <c r="F31" s="183"/>
      <c r="G31" s="183">
        <f t="shared" si="3"/>
        <v>11376</v>
      </c>
      <c r="H31" s="181">
        <f t="shared" si="4"/>
        <v>4.0966131031502512E-3</v>
      </c>
      <c r="J31" s="136"/>
      <c r="K31" s="136"/>
      <c r="M31" s="237">
        <f t="shared" si="5"/>
        <v>0.57851912123677784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'[10]Sch C'!D21</f>
        <v>21548</v>
      </c>
      <c r="D32" s="273">
        <f>'[10]Sch C'!F21</f>
        <v>0</v>
      </c>
      <c r="E32" s="259">
        <f t="shared" si="2"/>
        <v>21548</v>
      </c>
      <c r="F32" s="183"/>
      <c r="G32" s="183">
        <f t="shared" si="3"/>
        <v>21548</v>
      </c>
      <c r="H32" s="181">
        <f t="shared" si="4"/>
        <v>7.7596535818109718E-3</v>
      </c>
      <c r="J32" s="136"/>
      <c r="K32" s="136"/>
      <c r="M32" s="237">
        <f t="shared" si="5"/>
        <v>1.0958096013018714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'[10]Sch C'!D22</f>
        <v>0</v>
      </c>
      <c r="D33" s="273">
        <f>'[10]Sch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'[10]Sch C'!D23</f>
        <v>6067</v>
      </c>
      <c r="D34" s="273">
        <f>'[10]Sch C'!F23</f>
        <v>0</v>
      </c>
      <c r="E34" s="259">
        <f t="shared" si="2"/>
        <v>6067</v>
      </c>
      <c r="F34" s="183"/>
      <c r="G34" s="183">
        <f t="shared" si="3"/>
        <v>6067</v>
      </c>
      <c r="H34" s="181">
        <f t="shared" si="4"/>
        <v>2.184788299649488E-3</v>
      </c>
      <c r="J34" s="136"/>
      <c r="K34" s="136"/>
      <c r="M34" s="237">
        <f t="shared" si="5"/>
        <v>0.30853336045565499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'[10]Sch C'!D24</f>
        <v>0</v>
      </c>
      <c r="D35" s="273">
        <f>'[10]Sch C'!F24</f>
        <v>0</v>
      </c>
      <c r="E35" s="259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'[10]Sch C'!D25</f>
        <v>27533</v>
      </c>
      <c r="D36" s="273">
        <f>'[10]Sch C'!F25</f>
        <v>0</v>
      </c>
      <c r="E36" s="259">
        <f t="shared" si="2"/>
        <v>27533</v>
      </c>
      <c r="F36" s="183"/>
      <c r="G36" s="183">
        <f t="shared" si="3"/>
        <v>27533</v>
      </c>
      <c r="H36" s="181">
        <f t="shared" si="4"/>
        <v>9.9149128488955577E-3</v>
      </c>
      <c r="J36" s="136"/>
      <c r="K36" s="136"/>
      <c r="M36" s="237">
        <f t="shared" si="5"/>
        <v>1.400172904800651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'[10]Sch C'!D26</f>
        <v>179858</v>
      </c>
      <c r="D37" s="273">
        <f>'[10]Sch C'!F26</f>
        <v>0</v>
      </c>
      <c r="E37" s="259">
        <f t="shared" si="2"/>
        <v>179858</v>
      </c>
      <c r="F37" s="183"/>
      <c r="G37" s="183">
        <f t="shared" si="3"/>
        <v>179858</v>
      </c>
      <c r="H37" s="181">
        <f t="shared" si="4"/>
        <v>6.4768691939732587E-2</v>
      </c>
      <c r="J37" s="136"/>
      <c r="K37" s="136"/>
      <c r="M37" s="237">
        <f t="shared" si="5"/>
        <v>9.1465622457282336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'[10]Sch C'!D27</f>
        <v>439</v>
      </c>
      <c r="D38" s="273">
        <f>'[10]Sch C'!F27</f>
        <v>0</v>
      </c>
      <c r="E38" s="259">
        <f t="shared" si="2"/>
        <v>439</v>
      </c>
      <c r="F38" s="183"/>
      <c r="G38" s="183">
        <f t="shared" si="3"/>
        <v>439</v>
      </c>
      <c r="H38" s="181">
        <f t="shared" si="4"/>
        <v>1.5808835726819273E-4</v>
      </c>
      <c r="J38" s="136"/>
      <c r="K38" s="136"/>
      <c r="M38" s="237">
        <f t="shared" si="5"/>
        <v>2.2325061025223761E-2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'[10]Sch C'!D28</f>
        <v>101</v>
      </c>
      <c r="D39" s="273">
        <f>'[10]Sch C'!F28</f>
        <v>-101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'[10]Sch C'!D29</f>
        <v>0</v>
      </c>
      <c r="D40" s="273">
        <f>'[10]Sch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'[10]Sch C'!D30</f>
        <v>0</v>
      </c>
      <c r="D41" s="273">
        <f>'[10]Sch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'[10]Sch C'!D31</f>
        <v>25979</v>
      </c>
      <c r="D42" s="273">
        <f>'[10]Sch C'!F31</f>
        <v>0</v>
      </c>
      <c r="E42" s="259">
        <f t="shared" si="2"/>
        <v>25979</v>
      </c>
      <c r="F42" s="183"/>
      <c r="G42" s="183">
        <f t="shared" si="3"/>
        <v>25979</v>
      </c>
      <c r="H42" s="181">
        <f t="shared" si="4"/>
        <v>9.3553016707753501E-3</v>
      </c>
      <c r="J42" s="136"/>
      <c r="K42" s="136"/>
      <c r="M42" s="237">
        <f t="shared" si="5"/>
        <v>1.3211452400325467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'[10]Sch C'!D32</f>
        <v>44777</v>
      </c>
      <c r="D43" s="273">
        <f>'[10]Sch C'!F32</f>
        <v>0</v>
      </c>
      <c r="E43" s="259">
        <f t="shared" si="2"/>
        <v>44777</v>
      </c>
      <c r="F43" s="183"/>
      <c r="G43" s="183">
        <f t="shared" si="3"/>
        <v>44777</v>
      </c>
      <c r="H43" s="181">
        <f t="shared" si="4"/>
        <v>1.6124652331202426E-2</v>
      </c>
      <c r="J43" s="136"/>
      <c r="K43" s="136"/>
      <c r="M43" s="237">
        <f t="shared" si="5"/>
        <v>2.2771053702196906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'[10]Sch C'!D33</f>
        <v>0</v>
      </c>
      <c r="D44" s="273">
        <f>'[10]Sch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'[10]Sch C'!D34</f>
        <v>0</v>
      </c>
      <c r="D45" s="273">
        <f>'[10]Sch C'!F34</f>
        <v>0</v>
      </c>
      <c r="E45" s="259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'[10]Sch C'!D35</f>
        <v>0</v>
      </c>
      <c r="D46" s="273">
        <f>'[10]Sch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'[10]Sch C'!D36</f>
        <v>0</v>
      </c>
      <c r="D47" s="273">
        <f>'[10]Sch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'[10]Sch C'!D37</f>
        <v>0</v>
      </c>
      <c r="D48" s="273">
        <f>'[10]Sch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'[10]Sch C'!D38</f>
        <v>205</v>
      </c>
      <c r="D49" s="273">
        <f>'[10]Sch C'!F38</f>
        <v>0</v>
      </c>
      <c r="E49" s="259">
        <f t="shared" si="2"/>
        <v>205</v>
      </c>
      <c r="F49" s="183"/>
      <c r="G49" s="183">
        <f t="shared" si="3"/>
        <v>205</v>
      </c>
      <c r="H49" s="181">
        <f t="shared" si="4"/>
        <v>7.3822581412254007E-5</v>
      </c>
      <c r="J49" s="136"/>
      <c r="K49" s="136"/>
      <c r="M49" s="237">
        <f t="shared" si="5"/>
        <v>1.0425142392188771E-2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'[10]Sch C'!D39</f>
        <v>1350</v>
      </c>
      <c r="D50" s="273">
        <f>'[10]Sch C'!F39</f>
        <v>0</v>
      </c>
      <c r="E50" s="259">
        <f t="shared" si="2"/>
        <v>1350</v>
      </c>
      <c r="F50" s="183"/>
      <c r="G50" s="183">
        <f t="shared" si="3"/>
        <v>1350</v>
      </c>
      <c r="H50" s="181">
        <f t="shared" si="4"/>
        <v>4.8614870686118492E-4</v>
      </c>
      <c r="J50" s="136"/>
      <c r="K50" s="136"/>
      <c r="M50" s="237">
        <f t="shared" si="5"/>
        <v>6.8653376729048005E-2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'[10]Sch C'!D40</f>
        <v>0</v>
      </c>
      <c r="D51" s="273">
        <f>'[10]Sch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'[10]Sch C'!D41</f>
        <v>3975</v>
      </c>
      <c r="D52" s="273">
        <f>'[10]Sch C'!F41</f>
        <v>0</v>
      </c>
      <c r="E52" s="259">
        <f t="shared" si="2"/>
        <v>3975</v>
      </c>
      <c r="F52" s="183"/>
      <c r="G52" s="183">
        <f t="shared" si="3"/>
        <v>3975</v>
      </c>
      <c r="H52" s="181">
        <f t="shared" si="4"/>
        <v>1.4314378590912667E-3</v>
      </c>
      <c r="J52" s="136"/>
      <c r="K52" s="136"/>
      <c r="M52" s="237">
        <f t="shared" si="5"/>
        <v>0.2021460537021969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'[10]Sch C'!D42</f>
        <v>0</v>
      </c>
      <c r="D53" s="273">
        <f>'[10]Sch C'!F42</f>
        <v>0</v>
      </c>
      <c r="E53" s="259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'[10]Sch C'!D43</f>
        <v>1772</v>
      </c>
      <c r="D54" s="273">
        <f>'[10]Sch C'!F43</f>
        <v>0</v>
      </c>
      <c r="E54" s="259">
        <f t="shared" si="2"/>
        <v>1772</v>
      </c>
      <c r="F54" s="183"/>
      <c r="G54" s="183">
        <f t="shared" si="3"/>
        <v>1772</v>
      </c>
      <c r="H54" s="181">
        <f t="shared" si="4"/>
        <v>6.3811519152445902E-4</v>
      </c>
      <c r="J54" s="136"/>
      <c r="K54" s="136"/>
      <c r="M54" s="237">
        <f t="shared" si="5"/>
        <v>9.0113913751017086E-2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'[10]Sch C'!D44</f>
        <v>0</v>
      </c>
      <c r="D55" s="273">
        <f>'[10]Sch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'[10]Sch C'!D45</f>
        <v>0</v>
      </c>
      <c r="D56" s="273">
        <f>'[10]Sch C'!F45</f>
        <v>0</v>
      </c>
      <c r="E56" s="259">
        <f t="shared" si="2"/>
        <v>0</v>
      </c>
      <c r="F56" s="183"/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595173</v>
      </c>
      <c r="D57" s="273">
        <f>SUM(D21:D56)</f>
        <v>-101</v>
      </c>
      <c r="E57" s="183">
        <f>SUM(E21:E56)</f>
        <v>595072</v>
      </c>
      <c r="F57" s="183">
        <f>SUM(F21:F56)</f>
        <v>0</v>
      </c>
      <c r="G57" s="183">
        <f t="shared" si="3"/>
        <v>595072</v>
      </c>
      <c r="H57" s="181">
        <f t="shared" si="4"/>
        <v>0.21429146910318445</v>
      </c>
      <c r="J57" s="136"/>
      <c r="K57" s="136"/>
      <c r="M57" s="237">
        <f t="shared" si="5"/>
        <v>30.262001627339302</v>
      </c>
      <c r="N57" s="243">
        <f>SUMMARY!M57</f>
        <v>39.672950949912064</v>
      </c>
      <c r="O57" s="238">
        <f>M57/N57-1</f>
        <v>-0.23721324220258488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'[10]Sch C'!D57</f>
        <v>0</v>
      </c>
      <c r="D60" s="273">
        <f>'[10]Sch C'!F57</f>
        <v>0</v>
      </c>
      <c r="E60" s="259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'[10]Sch C'!D58</f>
        <v>50268</v>
      </c>
      <c r="D61" s="273">
        <f>'[10]Sch C'!F58</f>
        <v>0</v>
      </c>
      <c r="E61" s="259">
        <f t="shared" si="6"/>
        <v>50268</v>
      </c>
      <c r="F61" s="179"/>
      <c r="G61" s="179">
        <f t="shared" ref="G61:G76" si="7">IF(ISERROR(E61+F61),"",(E61+F61))</f>
        <v>50268</v>
      </c>
      <c r="H61" s="181">
        <f t="shared" ref="H61:H76" si="8">IF(ISERROR(G61/$G$183),"",(G61/$G$183))</f>
        <v>1.8102017182591142E-2</v>
      </c>
      <c r="J61" s="136"/>
      <c r="K61" s="136"/>
      <c r="M61" s="237">
        <f t="shared" ref="M61:M77" si="9">IFERROR(G61/G$198,0)</f>
        <v>2.5563466232709522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'[10]Sch C'!D59</f>
        <v>26786</v>
      </c>
      <c r="D62" s="273">
        <f>'[10]Sch C'!F59</f>
        <v>0</v>
      </c>
      <c r="E62" s="259">
        <f t="shared" si="6"/>
        <v>26786</v>
      </c>
      <c r="F62" s="179"/>
      <c r="G62" s="179">
        <f t="shared" si="7"/>
        <v>26786</v>
      </c>
      <c r="H62" s="181">
        <f t="shared" si="8"/>
        <v>9.6459105644323695E-3</v>
      </c>
      <c r="J62" s="136"/>
      <c r="K62" s="136"/>
      <c r="M62" s="237">
        <f t="shared" si="9"/>
        <v>1.3621847030105778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'[10]Sch C'!D60</f>
        <v>8740</v>
      </c>
      <c r="D63" s="273">
        <f>'[10]Sch C'!F60</f>
        <v>0</v>
      </c>
      <c r="E63" s="259">
        <f t="shared" si="6"/>
        <v>8740</v>
      </c>
      <c r="F63" s="179"/>
      <c r="G63" s="179">
        <f t="shared" si="7"/>
        <v>8740</v>
      </c>
      <c r="H63" s="181">
        <f t="shared" si="8"/>
        <v>3.1473627392346339E-3</v>
      </c>
      <c r="J63" s="136"/>
      <c r="K63" s="136"/>
      <c r="M63" s="237">
        <f t="shared" si="9"/>
        <v>0.44446704637917006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'[10]Sch C'!D61</f>
        <v>0</v>
      </c>
      <c r="D64" s="273">
        <f>'[10]Sch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'[10]Sch C'!D62</f>
        <v>0</v>
      </c>
      <c r="D65" s="273">
        <f>'[10]Sch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'[10]Sch C'!D63</f>
        <v>0</v>
      </c>
      <c r="D66" s="273">
        <f>'[10]Sch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'[10]Sch C'!D64</f>
        <v>0</v>
      </c>
      <c r="D67" s="273">
        <f>'[10]Sch C'!F64</f>
        <v>0</v>
      </c>
      <c r="E67" s="259">
        <f t="shared" si="6"/>
        <v>0</v>
      </c>
      <c r="F67" s="179"/>
      <c r="G67" s="179">
        <f t="shared" si="7"/>
        <v>0</v>
      </c>
      <c r="H67" s="181">
        <f t="shared" si="8"/>
        <v>0</v>
      </c>
      <c r="J67" s="136"/>
      <c r="K67" s="136"/>
      <c r="M67" s="237">
        <f t="shared" si="9"/>
        <v>0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'[10]Sch C'!D65</f>
        <v>0</v>
      </c>
      <c r="D68" s="273">
        <f>'[10]Sch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'[10]Sch C'!D66</f>
        <v>2182</v>
      </c>
      <c r="D69" s="273">
        <f>'[10]Sch C'!F66</f>
        <v>0</v>
      </c>
      <c r="E69" s="259">
        <f t="shared" si="6"/>
        <v>2182</v>
      </c>
      <c r="F69" s="179"/>
      <c r="G69" s="179">
        <f t="shared" si="7"/>
        <v>2182</v>
      </c>
      <c r="H69" s="181">
        <f t="shared" si="8"/>
        <v>7.8576035434896698E-4</v>
      </c>
      <c r="J69" s="136"/>
      <c r="K69" s="136"/>
      <c r="M69" s="237">
        <f t="shared" si="9"/>
        <v>0.11096419853539463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'[10]Sch C'!D67</f>
        <v>19177</v>
      </c>
      <c r="D70" s="273">
        <f>'[10]Sch C'!F67</f>
        <v>0</v>
      </c>
      <c r="E70" s="259">
        <f t="shared" si="6"/>
        <v>19177</v>
      </c>
      <c r="F70" s="179"/>
      <c r="G70" s="179">
        <f t="shared" si="7"/>
        <v>19177</v>
      </c>
      <c r="H70" s="181">
        <f t="shared" si="8"/>
        <v>6.905832408501439E-3</v>
      </c>
      <c r="J70" s="136"/>
      <c r="K70" s="136"/>
      <c r="M70" s="237">
        <f t="shared" si="9"/>
        <v>0.97523393002441006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'[10]Sch C'!D68</f>
        <v>0</v>
      </c>
      <c r="D71" s="273">
        <f>'[10]Sch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'[10]Sch C'!D69</f>
        <v>0</v>
      </c>
      <c r="D72" s="273">
        <f>'[10]Sch C'!F69</f>
        <v>0</v>
      </c>
      <c r="E72" s="259">
        <f t="shared" si="6"/>
        <v>0</v>
      </c>
      <c r="F72" s="179"/>
      <c r="G72" s="179">
        <f t="shared" si="7"/>
        <v>0</v>
      </c>
      <c r="H72" s="181">
        <f t="shared" si="8"/>
        <v>0</v>
      </c>
      <c r="J72" s="136"/>
      <c r="K72" s="136"/>
      <c r="M72" s="237">
        <f t="shared" si="9"/>
        <v>0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'[10]Sch C'!D70</f>
        <v>0</v>
      </c>
      <c r="D73" s="273">
        <f>'[10]Sch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'[10]Sch C'!D71</f>
        <v>490</v>
      </c>
      <c r="D74" s="273">
        <f>'[10]Sch C'!F71</f>
        <v>0</v>
      </c>
      <c r="E74" s="259">
        <f t="shared" si="6"/>
        <v>490</v>
      </c>
      <c r="F74" s="179"/>
      <c r="G74" s="179">
        <f t="shared" si="7"/>
        <v>490</v>
      </c>
      <c r="H74" s="181">
        <f t="shared" si="8"/>
        <v>1.764539750829486E-4</v>
      </c>
      <c r="J74" s="136"/>
      <c r="K74" s="136"/>
      <c r="M74" s="237">
        <f t="shared" si="9"/>
        <v>2.4918633034987796E-2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'[10]Sch C'!D72</f>
        <v>0</v>
      </c>
      <c r="D75" s="273">
        <f>'[10]Sch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'[10]Sch C'!D73</f>
        <v>0</v>
      </c>
      <c r="D76" s="273">
        <f>'[10]Sch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107643</v>
      </c>
      <c r="D77" s="273">
        <f>SUM(D60:D76)</f>
        <v>0</v>
      </c>
      <c r="E77" s="182">
        <f>SUM(E60:E76)</f>
        <v>107643</v>
      </c>
      <c r="F77" s="182">
        <f>SUM(F60:F76)</f>
        <v>0</v>
      </c>
      <c r="G77" s="183">
        <f>IF(ISERROR(E77+F77),"",(E77+F77))</f>
        <v>107643</v>
      </c>
      <c r="H77" s="181">
        <f>IF(ISERROR(G77/$G$183),"",(G77/$G$183))</f>
        <v>3.8763337224191501E-2</v>
      </c>
      <c r="J77" s="136"/>
      <c r="K77" s="136"/>
      <c r="M77" s="237">
        <f t="shared" si="9"/>
        <v>5.4741151342554923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'[10]Sch C'!D78</f>
        <v>44178</v>
      </c>
      <c r="D80" s="273">
        <f>'[10]Sch C'!F78</f>
        <v>0</v>
      </c>
      <c r="E80" s="259">
        <f t="shared" ref="E80:E91" si="10">SUM(C80:D80)</f>
        <v>44178</v>
      </c>
      <c r="F80" s="180"/>
      <c r="G80" s="180">
        <f>IF(ISERROR(E80+F80),"",(E80+F80))</f>
        <v>44178</v>
      </c>
      <c r="H80" s="181">
        <f t="shared" ref="H80:H92" si="11">IF(ISERROR(G80/$G$183),"",(G80/$G$183))</f>
        <v>1.5908946349417353E-2</v>
      </c>
      <c r="J80" s="261">
        <v>2000</v>
      </c>
      <c r="K80" s="261">
        <v>2080</v>
      </c>
      <c r="M80" s="237">
        <f t="shared" ref="M80:M92" si="12">IFERROR(G80/G$198,0)</f>
        <v>2.2466436126932465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'[10]Sch C'!D79</f>
        <v>12113</v>
      </c>
      <c r="D81" s="273">
        <f>'[10]Sch C'!F79</f>
        <v>0</v>
      </c>
      <c r="E81" s="259">
        <f t="shared" si="10"/>
        <v>12113</v>
      </c>
      <c r="F81" s="183"/>
      <c r="G81" s="183">
        <f>IF(ISERROR(E81+F81),"",(E81+F81))</f>
        <v>12113</v>
      </c>
      <c r="H81" s="181">
        <f t="shared" si="11"/>
        <v>4.3620142860811353E-3</v>
      </c>
      <c r="J81" s="136"/>
      <c r="K81" s="136"/>
      <c r="M81" s="237">
        <f t="shared" si="12"/>
        <v>0.61599877949552484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'[10]Sch C'!D80</f>
        <v>0</v>
      </c>
      <c r="D82" s="273">
        <f>'[10]Sch C'!F80</f>
        <v>0</v>
      </c>
      <c r="E82" s="259">
        <f t="shared" si="10"/>
        <v>0</v>
      </c>
      <c r="F82" s="183"/>
      <c r="G82" s="183">
        <f>IF(ISERROR(E82+F82),"",(E82+F82))</f>
        <v>0</v>
      </c>
      <c r="H82" s="181">
        <f t="shared" si="11"/>
        <v>0</v>
      </c>
      <c r="J82" s="136"/>
      <c r="K82" s="136"/>
      <c r="M82" s="237">
        <f t="shared" si="12"/>
        <v>0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'[10]Sch C'!D81</f>
        <v>0</v>
      </c>
      <c r="D83" s="273">
        <f>'[10]Sch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'[10]Sch C'!D82</f>
        <v>6759</v>
      </c>
      <c r="D84" s="273">
        <f>'[10]Sch C'!F82</f>
        <v>0</v>
      </c>
      <c r="E84" s="259">
        <f t="shared" si="10"/>
        <v>6759</v>
      </c>
      <c r="F84" s="183"/>
      <c r="G84" s="183">
        <f t="shared" ref="G84:G91" si="13">IF(ISERROR(E84+F84),"",(E84+F84))</f>
        <v>6759</v>
      </c>
      <c r="H84" s="181">
        <f t="shared" si="11"/>
        <v>2.4339845256849992E-3</v>
      </c>
      <c r="J84" s="136"/>
      <c r="K84" s="136"/>
      <c r="M84" s="237">
        <f t="shared" si="12"/>
        <v>0.34372457282343366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'[10]Sch C'!D83</f>
        <v>21334</v>
      </c>
      <c r="D85" s="273">
        <f>'[10]Sch C'!F83</f>
        <v>0</v>
      </c>
      <c r="E85" s="259">
        <f t="shared" si="10"/>
        <v>21334</v>
      </c>
      <c r="F85" s="183"/>
      <c r="G85" s="183">
        <f t="shared" si="13"/>
        <v>21334</v>
      </c>
      <c r="H85" s="181">
        <f t="shared" si="11"/>
        <v>7.6825900090196431E-3</v>
      </c>
      <c r="J85" s="136"/>
      <c r="K85" s="136"/>
      <c r="M85" s="237">
        <f t="shared" si="12"/>
        <v>1.084926769731489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'[10]Sch C'!D84</f>
        <v>55298</v>
      </c>
      <c r="D86" s="273">
        <f>'[10]Sch C'!F84</f>
        <v>0</v>
      </c>
      <c r="E86" s="259">
        <f t="shared" si="10"/>
        <v>55298</v>
      </c>
      <c r="F86" s="183"/>
      <c r="G86" s="183">
        <f t="shared" si="13"/>
        <v>55298</v>
      </c>
      <c r="H86" s="181">
        <f t="shared" si="11"/>
        <v>1.9913371253340594E-2</v>
      </c>
      <c r="J86" s="136"/>
      <c r="K86" s="136"/>
      <c r="M86" s="237">
        <f t="shared" si="12"/>
        <v>2.8121440195280716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'[10]Sch C'!D85</f>
        <v>5418</v>
      </c>
      <c r="D87" s="273">
        <f>'[10]Sch C'!F85</f>
        <v>0</v>
      </c>
      <c r="E87" s="259">
        <f t="shared" si="10"/>
        <v>5418</v>
      </c>
      <c r="F87" s="183"/>
      <c r="G87" s="183">
        <f t="shared" si="13"/>
        <v>5418</v>
      </c>
      <c r="H87" s="181">
        <f t="shared" si="11"/>
        <v>1.9510768102028887E-3</v>
      </c>
      <c r="J87" s="136"/>
      <c r="K87" s="136"/>
      <c r="M87" s="237">
        <f t="shared" si="12"/>
        <v>0.27552888527257935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'[10]Sch C'!D86</f>
        <v>35861</v>
      </c>
      <c r="D88" s="273">
        <f>'[10]Sch C'!F86</f>
        <v>0</v>
      </c>
      <c r="E88" s="259">
        <f t="shared" si="10"/>
        <v>35861</v>
      </c>
      <c r="F88" s="183"/>
      <c r="G88" s="183">
        <f t="shared" si="13"/>
        <v>35861</v>
      </c>
      <c r="H88" s="181">
        <f t="shared" si="11"/>
        <v>1.2913910204999223E-2</v>
      </c>
      <c r="J88" s="136"/>
      <c r="K88" s="136"/>
      <c r="M88" s="237">
        <f t="shared" si="12"/>
        <v>1.8236879576891782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'[10]Sch C'!D87</f>
        <v>34833</v>
      </c>
      <c r="D89" s="273">
        <f>'[10]Sch C'!F87</f>
        <v>0</v>
      </c>
      <c r="E89" s="259">
        <f t="shared" si="10"/>
        <v>34833</v>
      </c>
      <c r="F89" s="183"/>
      <c r="G89" s="183">
        <f t="shared" si="13"/>
        <v>34833</v>
      </c>
      <c r="H89" s="181">
        <f t="shared" si="11"/>
        <v>1.2543716967478262E-2</v>
      </c>
      <c r="J89" s="136"/>
      <c r="K89" s="136"/>
      <c r="M89" s="237">
        <f t="shared" si="12"/>
        <v>1.7714096826688364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'[10]Sch C'!D88</f>
        <v>0</v>
      </c>
      <c r="D90" s="273">
        <f>'[10]Sch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'[10]Sch C'!D89</f>
        <v>0</v>
      </c>
      <c r="D91" s="273">
        <f>'[10]Sch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215794</v>
      </c>
      <c r="D92" s="273">
        <f>SUM(D80:D91)</f>
        <v>0</v>
      </c>
      <c r="E92" s="183">
        <f>SUM(E80:E91)</f>
        <v>215794</v>
      </c>
      <c r="F92" s="183">
        <f>SUM(F80:F91)</f>
        <v>0</v>
      </c>
      <c r="G92" s="183">
        <f>IF(ISERROR(E92+F92),"",(E92+F92))</f>
        <v>215794</v>
      </c>
      <c r="H92" s="181">
        <f t="shared" si="11"/>
        <v>7.7709610406224094E-2</v>
      </c>
      <c r="J92" s="136"/>
      <c r="K92" s="136"/>
      <c r="M92" s="237">
        <f t="shared" si="12"/>
        <v>10.974064279902359</v>
      </c>
      <c r="N92" s="243">
        <f>SUMMARY!M92</f>
        <v>10.36414021133649</v>
      </c>
      <c r="O92" s="238">
        <f>M92/N92-1</f>
        <v>5.8849461328082331E-2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'[10]Sch C'!D93</f>
        <v>133276</v>
      </c>
      <c r="D95" s="273">
        <f>'[10]Sch C'!F93</f>
        <v>0</v>
      </c>
      <c r="E95" s="259">
        <f t="shared" ref="E95:E100" si="14">SUM(C95:D95)</f>
        <v>133276</v>
      </c>
      <c r="F95" s="180"/>
      <c r="G95" s="180">
        <f t="shared" ref="G95:G101" si="15">IF(ISERROR(E95+F95),"",(E95+F95))</f>
        <v>133276</v>
      </c>
      <c r="H95" s="181">
        <f t="shared" ref="H95:H101" si="16">IF(ISERROR(G95/$G$183),"",(G95/$G$183))</f>
        <v>4.7994040781949097E-2</v>
      </c>
      <c r="J95" s="261">
        <v>10718</v>
      </c>
      <c r="K95" s="261">
        <v>10838</v>
      </c>
      <c r="M95" s="237">
        <f t="shared" ref="M95:M101" si="17">IFERROR(G95/G$198,0)</f>
        <v>6.7776647681041498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'[10]Sch C'!D94</f>
        <v>25499</v>
      </c>
      <c r="D96" s="273">
        <f>'[10]Sch C'!F94</f>
        <v>0</v>
      </c>
      <c r="E96" s="259">
        <f t="shared" si="14"/>
        <v>25499</v>
      </c>
      <c r="F96" s="183"/>
      <c r="G96" s="183">
        <f t="shared" si="15"/>
        <v>25499</v>
      </c>
      <c r="H96" s="181">
        <f t="shared" si="16"/>
        <v>9.1824487972247057E-3</v>
      </c>
      <c r="J96" s="136"/>
      <c r="K96" s="136"/>
      <c r="M96" s="237">
        <f t="shared" si="17"/>
        <v>1.2967351505288853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'[10]Sch C'!D95</f>
        <v>2641</v>
      </c>
      <c r="D97" s="273">
        <f>'[10]Sch C'!F95</f>
        <v>0</v>
      </c>
      <c r="E97" s="259">
        <f t="shared" si="14"/>
        <v>2641</v>
      </c>
      <c r="F97" s="183"/>
      <c r="G97" s="183">
        <f t="shared" si="15"/>
        <v>2641</v>
      </c>
      <c r="H97" s="181">
        <f t="shared" si="16"/>
        <v>9.5105091468176983E-4</v>
      </c>
      <c r="J97" s="136"/>
      <c r="K97" s="136"/>
      <c r="M97" s="237">
        <f t="shared" si="17"/>
        <v>0.13430634662327096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'[10]Sch C'!D96</f>
        <v>127534</v>
      </c>
      <c r="D98" s="273">
        <f>'[10]Sch C'!F96</f>
        <v>0</v>
      </c>
      <c r="E98" s="259">
        <f t="shared" si="14"/>
        <v>127534</v>
      </c>
      <c r="F98" s="183"/>
      <c r="G98" s="183">
        <f t="shared" si="15"/>
        <v>127534</v>
      </c>
      <c r="H98" s="181">
        <f t="shared" si="16"/>
        <v>4.592628828209952E-2</v>
      </c>
      <c r="J98" s="136"/>
      <c r="K98" s="136"/>
      <c r="M98" s="237">
        <f t="shared" si="17"/>
        <v>6.485659072416599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'[10]Sch C'!D97</f>
        <v>5490</v>
      </c>
      <c r="D99" s="273">
        <f>'[10]Sch C'!F97</f>
        <v>0</v>
      </c>
      <c r="E99" s="259">
        <f t="shared" si="14"/>
        <v>5490</v>
      </c>
      <c r="F99" s="183"/>
      <c r="G99" s="183">
        <f t="shared" si="15"/>
        <v>5490</v>
      </c>
      <c r="H99" s="181">
        <f t="shared" si="16"/>
        <v>1.9770047412354854E-3</v>
      </c>
      <c r="J99" s="136"/>
      <c r="K99" s="136"/>
      <c r="M99" s="237">
        <f t="shared" si="17"/>
        <v>0.27919039869812856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'[10]Sch C'!D98</f>
        <v>0</v>
      </c>
      <c r="D100" s="273">
        <f>'[10]Sch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294440</v>
      </c>
      <c r="D101" s="273">
        <f>SUM(D95:D100)</f>
        <v>0</v>
      </c>
      <c r="E101" s="183">
        <f>SUM(E95:E100)</f>
        <v>294440</v>
      </c>
      <c r="F101" s="183">
        <f>SUM(F95:F100)</f>
        <v>0</v>
      </c>
      <c r="G101" s="183">
        <f t="shared" si="15"/>
        <v>294440</v>
      </c>
      <c r="H101" s="181">
        <f t="shared" si="16"/>
        <v>0.10603083351719057</v>
      </c>
      <c r="J101" s="136"/>
      <c r="K101" s="136"/>
      <c r="M101" s="237">
        <f t="shared" si="17"/>
        <v>14.973555736371033</v>
      </c>
      <c r="N101" s="243">
        <f>SUMMARY!M101</f>
        <v>14.116295917008408</v>
      </c>
      <c r="O101" s="238">
        <f>M101/N101-1</f>
        <v>6.0728382601396902E-2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'[10]Sch C'!D102</f>
        <v>23382</v>
      </c>
      <c r="D104" s="273">
        <f>'[10]Sch C'!F102</f>
        <v>0</v>
      </c>
      <c r="E104" s="259">
        <f t="shared" ref="E104:E109" si="18">SUM(C104:D104)</f>
        <v>23382</v>
      </c>
      <c r="F104" s="180"/>
      <c r="G104" s="180">
        <f t="shared" ref="G104:G110" si="19">IF(ISERROR(E104+F104),"",(E104+F104))</f>
        <v>23382</v>
      </c>
      <c r="H104" s="181">
        <f t="shared" ref="H104:H110" si="20">IF(ISERROR(G104/$G$183),"",(G104/$G$183))</f>
        <v>8.420095602835723E-3</v>
      </c>
      <c r="J104" s="261">
        <v>2598</v>
      </c>
      <c r="K104" s="261">
        <v>2598</v>
      </c>
      <c r="M104" s="237">
        <f t="shared" ref="M104:M110" si="21">IFERROR(G104/G$198,0)</f>
        <v>1.1890764849471114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'[10]Sch C'!D103</f>
        <v>1944</v>
      </c>
      <c r="D105" s="273">
        <f>'[10]Sch C'!F103</f>
        <v>0</v>
      </c>
      <c r="E105" s="259">
        <f t="shared" si="18"/>
        <v>1944</v>
      </c>
      <c r="F105" s="183"/>
      <c r="G105" s="183">
        <f t="shared" si="19"/>
        <v>1944</v>
      </c>
      <c r="H105" s="181">
        <f t="shared" si="20"/>
        <v>7.0005413788010629E-4</v>
      </c>
      <c r="J105" s="136"/>
      <c r="K105" s="136"/>
      <c r="M105" s="237">
        <f t="shared" si="21"/>
        <v>9.8860862489829129E-2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'[10]Sch C'!D104</f>
        <v>3315</v>
      </c>
      <c r="D106" s="273">
        <f>'[10]Sch C'!F104</f>
        <v>0</v>
      </c>
      <c r="E106" s="259">
        <f t="shared" si="18"/>
        <v>3315</v>
      </c>
      <c r="F106" s="183"/>
      <c r="G106" s="183">
        <f t="shared" si="19"/>
        <v>3315</v>
      </c>
      <c r="H106" s="181">
        <f t="shared" si="20"/>
        <v>1.1937651579591317E-3</v>
      </c>
      <c r="J106" s="136"/>
      <c r="K106" s="136"/>
      <c r="M106" s="237">
        <f t="shared" si="21"/>
        <v>0.16858218063466232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'[10]Sch C'!D105</f>
        <v>0</v>
      </c>
      <c r="D107" s="273">
        <f>'[10]Sch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'[10]Sch C'!D106</f>
        <v>7377</v>
      </c>
      <c r="D108" s="273">
        <f>'[10]Sch C'!F106</f>
        <v>0</v>
      </c>
      <c r="E108" s="259">
        <f t="shared" si="18"/>
        <v>7377</v>
      </c>
      <c r="F108" s="183"/>
      <c r="G108" s="183">
        <f t="shared" si="19"/>
        <v>7377</v>
      </c>
      <c r="H108" s="181">
        <f t="shared" si="20"/>
        <v>2.6565326003814525E-3</v>
      </c>
      <c r="J108" s="136"/>
      <c r="K108" s="136"/>
      <c r="M108" s="237">
        <f t="shared" si="21"/>
        <v>0.37515256305939787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'[10]Sch C'!D107</f>
        <v>-5</v>
      </c>
      <c r="D109" s="273">
        <f>'[10]Sch C'!F107</f>
        <v>0</v>
      </c>
      <c r="E109" s="259">
        <f t="shared" si="18"/>
        <v>-5</v>
      </c>
      <c r="F109" s="183"/>
      <c r="G109" s="183">
        <f t="shared" si="19"/>
        <v>-5</v>
      </c>
      <c r="H109" s="181">
        <f t="shared" si="20"/>
        <v>-1.8005507661525367E-6</v>
      </c>
      <c r="J109" s="136"/>
      <c r="K109" s="136"/>
      <c r="M109" s="237">
        <f t="shared" si="21"/>
        <v>-2.5427176566314078E-4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36013</v>
      </c>
      <c r="D110" s="273">
        <f>SUM(D104:D109)</f>
        <v>0</v>
      </c>
      <c r="E110" s="183">
        <f>SUM(E104:E109)</f>
        <v>36013</v>
      </c>
      <c r="F110" s="183">
        <f>SUM(F104:F109)</f>
        <v>0</v>
      </c>
      <c r="G110" s="183">
        <f t="shared" si="19"/>
        <v>36013</v>
      </c>
      <c r="H110" s="181">
        <f t="shared" si="20"/>
        <v>1.2968646948290261E-2</v>
      </c>
      <c r="J110" s="136"/>
      <c r="K110" s="136"/>
      <c r="M110" s="237">
        <f t="shared" si="21"/>
        <v>1.8314178193653377</v>
      </c>
      <c r="N110" s="243">
        <f>SUMMARY!M110</f>
        <v>2.6822243142585545</v>
      </c>
      <c r="O110" s="238">
        <f>M110/N110-1</f>
        <v>-0.31720184265364271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'[10]Sch C'!D121</f>
        <v>65197</v>
      </c>
      <c r="D113" s="273">
        <f>'[10]Sch C'!F121</f>
        <v>0</v>
      </c>
      <c r="E113" s="259">
        <f t="shared" ref="E113:E117" si="22">SUM(C113:D113)</f>
        <v>65197</v>
      </c>
      <c r="F113" s="180"/>
      <c r="G113" s="180">
        <f t="shared" ref="G113:G118" si="23">IF(ISERROR(E113+F113),"",(E113+F113))</f>
        <v>65197</v>
      </c>
      <c r="H113" s="181">
        <f t="shared" ref="H113:H118" si="24">IF(ISERROR(G113/$G$183),"",(G113/$G$183))</f>
        <v>2.3478101660169386E-2</v>
      </c>
      <c r="J113" s="261">
        <v>6082</v>
      </c>
      <c r="K113" s="261">
        <v>6106</v>
      </c>
      <c r="M113" s="237">
        <f t="shared" ref="M113:M118" si="25">IFERROR(G113/G$198,0)</f>
        <v>3.3155512611879576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'[10]Sch C'!D122</f>
        <v>10690</v>
      </c>
      <c r="D114" s="273">
        <f>'[10]Sch C'!F122</f>
        <v>0</v>
      </c>
      <c r="E114" s="259">
        <f t="shared" si="22"/>
        <v>10690</v>
      </c>
      <c r="F114" s="183"/>
      <c r="G114" s="183">
        <f t="shared" si="23"/>
        <v>10690</v>
      </c>
      <c r="H114" s="181">
        <f t="shared" si="24"/>
        <v>3.8495775380341232E-3</v>
      </c>
      <c r="J114" s="136"/>
      <c r="K114" s="136"/>
      <c r="M114" s="237">
        <f t="shared" si="25"/>
        <v>0.54363303498779492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'[10]Sch C'!D123</f>
        <v>35426</v>
      </c>
      <c r="D115" s="273">
        <f>'[10]Sch C'!F123</f>
        <v>0</v>
      </c>
      <c r="E115" s="259">
        <f t="shared" si="22"/>
        <v>35426</v>
      </c>
      <c r="F115" s="183"/>
      <c r="G115" s="183">
        <f t="shared" si="23"/>
        <v>35426</v>
      </c>
      <c r="H115" s="181">
        <f t="shared" si="24"/>
        <v>1.2757262288343953E-2</v>
      </c>
      <c r="J115" s="136"/>
      <c r="K115" s="136"/>
      <c r="M115" s="237">
        <f t="shared" si="25"/>
        <v>1.801566314076485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'[10]Sch C'!D124</f>
        <v>0</v>
      </c>
      <c r="D116" s="273">
        <f>'[10]Sch C'!F124</f>
        <v>0</v>
      </c>
      <c r="E116" s="259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'[10]Sch C'!D125</f>
        <v>0</v>
      </c>
      <c r="D117" s="273">
        <f>'[10]Sch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111313</v>
      </c>
      <c r="D118" s="273">
        <f>SUM(D113:D117)</f>
        <v>0</v>
      </c>
      <c r="E118" s="183">
        <f>SUM(E113:E117)</f>
        <v>111313</v>
      </c>
      <c r="F118" s="183">
        <f>SUM(F113:F117)</f>
        <v>0</v>
      </c>
      <c r="G118" s="183">
        <f t="shared" si="23"/>
        <v>111313</v>
      </c>
      <c r="H118" s="181">
        <f t="shared" si="24"/>
        <v>4.0084941486547461E-2</v>
      </c>
      <c r="J118" s="136"/>
      <c r="K118" s="136"/>
      <c r="M118" s="237">
        <f t="shared" si="25"/>
        <v>5.6607506102522374</v>
      </c>
      <c r="N118" s="243">
        <f>SUMMARY!M118</f>
        <v>3.1676887539780583</v>
      </c>
      <c r="O118" s="238">
        <f>M118/N118-1</f>
        <v>0.78702866660852755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'[10]Sch C'!D129</f>
        <v>79296</v>
      </c>
      <c r="D121" s="273">
        <f>'[10]Sch C'!F129</f>
        <v>0</v>
      </c>
      <c r="E121" s="259">
        <f t="shared" ref="E121:E131" si="26">SUM(C121:D121)</f>
        <v>79296</v>
      </c>
      <c r="F121" s="180"/>
      <c r="G121" s="180">
        <f>IF(ISERROR(E121+F121),"",(E121+F121))</f>
        <v>79296</v>
      </c>
      <c r="H121" s="181">
        <f>IF(ISERROR(G121/$G$183),"",(G121/$G$183))</f>
        <v>2.8555294710566309E-2</v>
      </c>
      <c r="J121" s="261">
        <v>3332</v>
      </c>
      <c r="K121" s="261">
        <v>3492</v>
      </c>
      <c r="M121" s="237">
        <f t="shared" ref="M121:M131" si="27">IFERROR(G121/G$198,0)</f>
        <v>4.0325467860048816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'[10]Sch C'!D130</f>
        <v>18437</v>
      </c>
      <c r="D122" s="273">
        <f>'[10]Sch C'!F130</f>
        <v>0</v>
      </c>
      <c r="E122" s="259">
        <f t="shared" si="26"/>
        <v>18437</v>
      </c>
      <c r="F122" s="180"/>
      <c r="G122" s="180">
        <f t="shared" ref="G122:G131" si="28">IF(ISERROR(E122+F122),"",(E122+F122))</f>
        <v>18437</v>
      </c>
      <c r="H122" s="181">
        <f t="shared" ref="H122:H131" si="29">IF(ISERROR(G122/$G$183),"",(G122/$G$183))</f>
        <v>6.6393508951108635E-3</v>
      </c>
      <c r="J122" s="136"/>
      <c r="K122" s="136"/>
      <c r="M122" s="237">
        <f t="shared" si="27"/>
        <v>0.93760170870626525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'[10]Sch C'!D131</f>
        <v>128257</v>
      </c>
      <c r="D123" s="273">
        <f>'[10]Sch C'!F131</f>
        <v>0</v>
      </c>
      <c r="E123" s="259">
        <f t="shared" si="26"/>
        <v>128257</v>
      </c>
      <c r="F123" s="180"/>
      <c r="G123" s="180">
        <f t="shared" si="28"/>
        <v>128257</v>
      </c>
      <c r="H123" s="181">
        <f t="shared" si="29"/>
        <v>4.6186647922885175E-2</v>
      </c>
      <c r="J123" s="261">
        <v>6613</v>
      </c>
      <c r="K123" s="261">
        <v>6693</v>
      </c>
      <c r="M123" s="237">
        <f t="shared" si="27"/>
        <v>6.5224267697314886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'[10]Sch C'!D132</f>
        <v>20351</v>
      </c>
      <c r="D124" s="273">
        <f>'[10]Sch C'!F132</f>
        <v>0</v>
      </c>
      <c r="E124" s="259">
        <f t="shared" si="26"/>
        <v>20351</v>
      </c>
      <c r="F124" s="180"/>
      <c r="G124" s="180">
        <f t="shared" si="28"/>
        <v>20351</v>
      </c>
      <c r="H124" s="181">
        <f t="shared" si="29"/>
        <v>7.3286017283940548E-3</v>
      </c>
      <c r="J124" s="136"/>
      <c r="K124" s="136"/>
      <c r="M124" s="237">
        <f t="shared" si="27"/>
        <v>1.0349369406021156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'[10]Sch C'!D133</f>
        <v>0</v>
      </c>
      <c r="D125" s="273">
        <f>'[10]Sch C'!F133</f>
        <v>0</v>
      </c>
      <c r="E125" s="259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'[10]Sch C'!D134</f>
        <v>32916</v>
      </c>
      <c r="D126" s="273">
        <f>'[10]Sch C'!F134</f>
        <v>0</v>
      </c>
      <c r="E126" s="259">
        <f t="shared" si="26"/>
        <v>32916</v>
      </c>
      <c r="F126" s="180"/>
      <c r="G126" s="180">
        <f t="shared" si="28"/>
        <v>32916</v>
      </c>
      <c r="H126" s="181">
        <f t="shared" si="29"/>
        <v>1.185338580373538E-2</v>
      </c>
      <c r="J126" s="136"/>
      <c r="K126" s="136"/>
      <c r="M126" s="237">
        <f t="shared" si="27"/>
        <v>1.6739218877135882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'[10]Sch C'!D135</f>
        <v>414</v>
      </c>
      <c r="D127" s="273">
        <f>'[10]Sch C'!F135</f>
        <v>0</v>
      </c>
      <c r="E127" s="259">
        <f t="shared" si="26"/>
        <v>414</v>
      </c>
      <c r="F127" s="180"/>
      <c r="G127" s="180">
        <f t="shared" si="28"/>
        <v>414</v>
      </c>
      <c r="H127" s="181">
        <f t="shared" si="29"/>
        <v>1.4908560343743004E-4</v>
      </c>
      <c r="J127" s="136"/>
      <c r="K127" s="136"/>
      <c r="M127" s="237">
        <f t="shared" si="27"/>
        <v>2.1053702196908056E-2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'[10]Sch C'!D136</f>
        <v>0</v>
      </c>
      <c r="D128" s="273">
        <f>'[10]Sch C'!F136</f>
        <v>0</v>
      </c>
      <c r="E128" s="259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'[10]Sch C'!D137</f>
        <v>9515</v>
      </c>
      <c r="D129" s="273">
        <f>'[10]Sch C'!F137</f>
        <v>0</v>
      </c>
      <c r="E129" s="259">
        <f t="shared" si="26"/>
        <v>9515</v>
      </c>
      <c r="F129" s="180"/>
      <c r="G129" s="180">
        <f t="shared" si="28"/>
        <v>9515</v>
      </c>
      <c r="H129" s="181">
        <f t="shared" si="29"/>
        <v>3.4264481079882771E-3</v>
      </c>
      <c r="J129" s="136"/>
      <c r="K129" s="136"/>
      <c r="M129" s="237">
        <f t="shared" si="27"/>
        <v>0.48387917005695685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'[10]Sch C'!D138</f>
        <v>22000</v>
      </c>
      <c r="D130" s="273">
        <f>'[10]Sch C'!F138</f>
        <v>0</v>
      </c>
      <c r="E130" s="259">
        <f t="shared" si="26"/>
        <v>22000</v>
      </c>
      <c r="F130" s="180"/>
      <c r="G130" s="180">
        <f t="shared" si="28"/>
        <v>22000</v>
      </c>
      <c r="H130" s="181">
        <f t="shared" si="29"/>
        <v>7.9224233710711613E-3</v>
      </c>
      <c r="J130" s="136"/>
      <c r="K130" s="136"/>
      <c r="M130" s="237">
        <f t="shared" si="27"/>
        <v>1.1187957689178194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'[10]Sch C'!D139</f>
        <v>0</v>
      </c>
      <c r="D131" s="273">
        <f>'[10]Sch C'!F139</f>
        <v>0</v>
      </c>
      <c r="E131" s="259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'[10]Sch C'!D141</f>
        <v>0</v>
      </c>
      <c r="D133" s="273">
        <f>'[10]Sch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'[10]Sch C'!D142</f>
        <v>0</v>
      </c>
      <c r="D134" s="273">
        <f>'[10]Sch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'[10]Sch C'!D143</f>
        <v>0</v>
      </c>
      <c r="D135" s="273">
        <f>'[10]Sch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'[10]Sch C'!D144</f>
        <v>0</v>
      </c>
      <c r="D136" s="273">
        <f>'[10]Sch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'[10]Sch C'!D145</f>
        <v>0</v>
      </c>
      <c r="D137" s="273">
        <f>'[10]Sch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'[10]Sch C'!D146</f>
        <v>0</v>
      </c>
      <c r="D138" s="273">
        <f>'[10]Sch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311186</v>
      </c>
      <c r="D139" s="273">
        <f>SUM(D121:D138)</f>
        <v>0</v>
      </c>
      <c r="E139" s="182">
        <f>SUM(E121:E138)</f>
        <v>311186</v>
      </c>
      <c r="F139" s="182">
        <f>SUM(F121:F138)</f>
        <v>0</v>
      </c>
      <c r="G139" s="183">
        <f t="shared" si="33"/>
        <v>311186</v>
      </c>
      <c r="H139" s="181">
        <f t="shared" si="31"/>
        <v>0.11206123814318865</v>
      </c>
      <c r="J139" s="136"/>
      <c r="K139" s="136"/>
      <c r="M139" s="237">
        <f t="shared" si="32"/>
        <v>15.825162733930025</v>
      </c>
      <c r="N139" s="243">
        <f>SUMMARY!M139</f>
        <v>37.231450929246826</v>
      </c>
      <c r="O139" s="238">
        <f>M139/N139-1</f>
        <v>-0.57495175882337923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'[10]Sch C'!D150</f>
        <v>60040</v>
      </c>
      <c r="D142" s="273">
        <f>'[10]Sch C'!F150</f>
        <v>0</v>
      </c>
      <c r="E142" s="259">
        <f t="shared" ref="E142:E146" si="34">SUM(C142:D142)</f>
        <v>60040</v>
      </c>
      <c r="F142" s="180"/>
      <c r="G142" s="180">
        <f t="shared" ref="G142:G147" si="35">IF(ISERROR(E142+F142),"",(E142+F142))</f>
        <v>60040</v>
      </c>
      <c r="H142" s="181">
        <f t="shared" ref="H142:H147" si="36">IF(ISERROR(G142/$G$183),"",(G142/$G$183))</f>
        <v>2.162101359995966E-2</v>
      </c>
      <c r="J142" s="261">
        <v>4318</v>
      </c>
      <c r="K142" s="261">
        <v>4334</v>
      </c>
      <c r="M142" s="237">
        <f t="shared" ref="M142:M147" si="37">IFERROR(G142/G$198,0)</f>
        <v>3.0532953620829941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'[10]Sch C'!D151</f>
        <v>12911</v>
      </c>
      <c r="D143" s="273">
        <f>'[10]Sch C'!F151</f>
        <v>0</v>
      </c>
      <c r="E143" s="259">
        <f t="shared" si="34"/>
        <v>12911</v>
      </c>
      <c r="F143" s="183"/>
      <c r="G143" s="183">
        <f t="shared" si="35"/>
        <v>12911</v>
      </c>
      <c r="H143" s="181">
        <f t="shared" si="36"/>
        <v>4.6493821883590806E-3</v>
      </c>
      <c r="J143" s="136"/>
      <c r="K143" s="136"/>
      <c r="M143" s="237">
        <f t="shared" si="37"/>
        <v>0.65658055329536213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'[10]Sch C'!D152</f>
        <v>25790</v>
      </c>
      <c r="D144" s="273">
        <f>'[10]Sch C'!F152</f>
        <v>0</v>
      </c>
      <c r="E144" s="259">
        <f t="shared" si="34"/>
        <v>25790</v>
      </c>
      <c r="F144" s="183"/>
      <c r="G144" s="183">
        <f t="shared" si="35"/>
        <v>25790</v>
      </c>
      <c r="H144" s="181">
        <f t="shared" si="36"/>
        <v>9.2872408518147841E-3</v>
      </c>
      <c r="J144" s="136"/>
      <c r="K144" s="136"/>
      <c r="M144" s="237">
        <f t="shared" si="37"/>
        <v>1.3115337672904801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'[10]Sch C'!D153</f>
        <v>0</v>
      </c>
      <c r="D145" s="273">
        <f>'[10]Sch C'!F153</f>
        <v>0</v>
      </c>
      <c r="E145" s="259">
        <f t="shared" si="34"/>
        <v>0</v>
      </c>
      <c r="F145" s="183"/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'[10]Sch C'!D154</f>
        <v>0</v>
      </c>
      <c r="D146" s="273">
        <f>'[10]Sch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98741</v>
      </c>
      <c r="D147" s="273">
        <f>SUM(D142:D146)</f>
        <v>0</v>
      </c>
      <c r="E147" s="183">
        <f>SUM(E142:E146)</f>
        <v>98741</v>
      </c>
      <c r="F147" s="183">
        <f>SUM(F142:F146)</f>
        <v>0</v>
      </c>
      <c r="G147" s="183">
        <f t="shared" si="35"/>
        <v>98741</v>
      </c>
      <c r="H147" s="204">
        <f t="shared" si="36"/>
        <v>3.5557636640133526E-2</v>
      </c>
      <c r="J147" s="136"/>
      <c r="K147" s="136"/>
      <c r="M147" s="237">
        <f t="shared" si="37"/>
        <v>5.0214096826688364</v>
      </c>
      <c r="N147" s="243">
        <f>SUMMARY!M147</f>
        <v>3.5319826687546212</v>
      </c>
      <c r="O147" s="238">
        <f>M147/N147-1</f>
        <v>0.42169714678678982</v>
      </c>
      <c r="P147" s="178">
        <f>IF(O147&gt;=0.2,0.3,0)</f>
        <v>0.3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'[10]Sch C'!D158</f>
        <v>459690</v>
      </c>
      <c r="D150" s="273">
        <f>'[10]Sch C'!F158</f>
        <v>0</v>
      </c>
      <c r="E150" s="259">
        <f t="shared" ref="E150:E163" si="38">SUM(C150:D150)</f>
        <v>459690</v>
      </c>
      <c r="F150" s="183"/>
      <c r="G150" s="183">
        <f>IF(ISERROR(E150+F150),"",(E150+F150))</f>
        <v>459690</v>
      </c>
      <c r="H150" s="181">
        <f>IF(ISERROR(G150/$G$183),"",(G150/$G$183))</f>
        <v>0.16553903633853193</v>
      </c>
      <c r="J150" s="261">
        <v>45552</v>
      </c>
      <c r="K150" s="261">
        <v>46146</v>
      </c>
      <c r="M150" s="237">
        <f t="shared" ref="M150:M164" si="39">IFERROR(G150/G$198,0)</f>
        <v>23.377237591537835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'[10]Sch C'!D159</f>
        <v>61725</v>
      </c>
      <c r="D151" s="273">
        <f>'[10]Sch C'!F159</f>
        <v>0</v>
      </c>
      <c r="E151" s="259">
        <f t="shared" si="38"/>
        <v>61725</v>
      </c>
      <c r="F151" s="183"/>
      <c r="G151" s="183">
        <f>IF(ISERROR(E151+F151),"",(E151+F151))</f>
        <v>61725</v>
      </c>
      <c r="H151" s="181">
        <f>IF(ISERROR(G151/$G$183),"",(G151/$G$183))</f>
        <v>2.2227799208153064E-2</v>
      </c>
      <c r="J151" s="136"/>
      <c r="K151" s="136"/>
      <c r="M151" s="237">
        <f t="shared" si="39"/>
        <v>3.1389849471114726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'[10]Sch C'!D160</f>
        <v>14528</v>
      </c>
      <c r="D152" s="273">
        <f>'[10]Sch C'!F160</f>
        <v>0</v>
      </c>
      <c r="E152" s="259">
        <f t="shared" si="38"/>
        <v>14528</v>
      </c>
      <c r="F152" s="183"/>
      <c r="G152" s="183">
        <f t="shared" ref="G152:G163" si="40">IF(ISERROR(E152+F152),"",(E152+F152))</f>
        <v>14528</v>
      </c>
      <c r="H152" s="181">
        <f t="shared" ref="H152:H163" si="41">IF(ISERROR(G152/$G$183),"",(G152/$G$183))</f>
        <v>5.2316803061328108E-3</v>
      </c>
      <c r="J152" s="136"/>
      <c r="K152" s="136"/>
      <c r="M152" s="237">
        <f t="shared" si="39"/>
        <v>0.73881204231082176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'[10]Sch C'!D161</f>
        <v>803</v>
      </c>
      <c r="D153" s="273">
        <f>'[10]Sch C'!F161</f>
        <v>0</v>
      </c>
      <c r="E153" s="259">
        <f t="shared" si="38"/>
        <v>803</v>
      </c>
      <c r="F153" s="183"/>
      <c r="G153" s="183">
        <f t="shared" si="40"/>
        <v>803</v>
      </c>
      <c r="H153" s="181">
        <f t="shared" si="41"/>
        <v>2.8916845304409737E-4</v>
      </c>
      <c r="J153" s="206"/>
      <c r="K153" s="206"/>
      <c r="M153" s="237">
        <f t="shared" si="39"/>
        <v>4.0836045565500405E-2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'[10]Sch C'!D162</f>
        <v>8660</v>
      </c>
      <c r="D154" s="273">
        <f>'[10]Sch C'!F162</f>
        <v>0</v>
      </c>
      <c r="E154" s="259">
        <f t="shared" si="38"/>
        <v>8660</v>
      </c>
      <c r="F154" s="183"/>
      <c r="G154" s="183">
        <f t="shared" si="40"/>
        <v>8660</v>
      </c>
      <c r="H154" s="181">
        <f t="shared" si="41"/>
        <v>3.1185539269761933E-3</v>
      </c>
      <c r="J154" s="206"/>
      <c r="K154" s="206"/>
      <c r="M154" s="237">
        <f t="shared" si="39"/>
        <v>0.44039869812855981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'[10]Sch C'!D163</f>
        <v>5600</v>
      </c>
      <c r="D155" s="273">
        <f>'[10]Sch C'!F163</f>
        <v>0</v>
      </c>
      <c r="E155" s="259">
        <f t="shared" si="38"/>
        <v>5600</v>
      </c>
      <c r="F155" s="183"/>
      <c r="G155" s="183">
        <f t="shared" si="40"/>
        <v>5600</v>
      </c>
      <c r="H155" s="181">
        <f t="shared" si="41"/>
        <v>2.0166168580908412E-3</v>
      </c>
      <c r="J155" s="206"/>
      <c r="K155" s="206"/>
      <c r="M155" s="237">
        <f t="shared" si="39"/>
        <v>0.28478437754271768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'[10]Sch C'!D164</f>
        <v>0</v>
      </c>
      <c r="D156" s="273">
        <f>'[10]Sch C'!F164</f>
        <v>0</v>
      </c>
      <c r="E156" s="259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'[10]Sch C'!D165</f>
        <v>2081</v>
      </c>
      <c r="D157" s="273">
        <f>'[10]Sch C'!F165</f>
        <v>0</v>
      </c>
      <c r="E157" s="259">
        <f t="shared" si="38"/>
        <v>2081</v>
      </c>
      <c r="F157" s="183"/>
      <c r="G157" s="183">
        <f t="shared" si="40"/>
        <v>2081</v>
      </c>
      <c r="H157" s="181">
        <f t="shared" si="41"/>
        <v>7.4938922887268571E-4</v>
      </c>
      <c r="J157" s="206"/>
      <c r="K157" s="206"/>
      <c r="M157" s="237">
        <f t="shared" si="39"/>
        <v>0.10582790886899919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'[10]Sch C'!D166</f>
        <v>0</v>
      </c>
      <c r="D158" s="273">
        <f>'[10]Sch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'[10]Sch C'!D167</f>
        <v>412044</v>
      </c>
      <c r="D159" s="273">
        <f>'[10]Sch C'!F167</f>
        <v>0</v>
      </c>
      <c r="E159" s="259">
        <f t="shared" si="38"/>
        <v>412044</v>
      </c>
      <c r="F159" s="183"/>
      <c r="G159" s="183">
        <f t="shared" si="40"/>
        <v>412044</v>
      </c>
      <c r="H159" s="181">
        <f t="shared" si="41"/>
        <v>0.14838122797771117</v>
      </c>
      <c r="J159" s="206"/>
      <c r="K159" s="206"/>
      <c r="M159" s="237">
        <f t="shared" si="39"/>
        <v>20.954231082180634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'[10]Sch C'!D168</f>
        <v>0</v>
      </c>
      <c r="D160" s="273">
        <f>'[10]Sch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'[10]Sch C'!D169</f>
        <v>0</v>
      </c>
      <c r="D161" s="273">
        <f>'[10]Sch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'[10]Sch C'!D170</f>
        <v>8818</v>
      </c>
      <c r="D162" s="273">
        <f>'[10]Sch C'!F170</f>
        <v>0</v>
      </c>
      <c r="E162" s="259">
        <f t="shared" si="38"/>
        <v>8818</v>
      </c>
      <c r="F162" s="183"/>
      <c r="G162" s="183">
        <f t="shared" si="40"/>
        <v>8818</v>
      </c>
      <c r="H162" s="181">
        <f t="shared" si="41"/>
        <v>3.1754513311866139E-3</v>
      </c>
      <c r="J162" s="136"/>
      <c r="K162" s="136"/>
      <c r="M162" s="237">
        <f t="shared" si="39"/>
        <v>0.44843368592351507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'[10]Sch C'!D171</f>
        <v>-30</v>
      </c>
      <c r="D163" s="273">
        <f>'[10]Sch C'!F171</f>
        <v>0</v>
      </c>
      <c r="E163" s="259">
        <f t="shared" si="38"/>
        <v>-30</v>
      </c>
      <c r="F163" s="183"/>
      <c r="G163" s="183">
        <f t="shared" si="40"/>
        <v>-30</v>
      </c>
      <c r="H163" s="181">
        <f t="shared" si="41"/>
        <v>-1.080330459691522E-5</v>
      </c>
      <c r="J163" s="136"/>
      <c r="K163" s="136"/>
      <c r="M163" s="237">
        <f t="shared" si="39"/>
        <v>-1.5256305939788447E-3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973919</v>
      </c>
      <c r="D164" s="273">
        <f>SUM(D150:D163)</f>
        <v>0</v>
      </c>
      <c r="E164" s="183">
        <f>SUM(E150:E163)</f>
        <v>973919</v>
      </c>
      <c r="F164" s="183">
        <f>SUM(F150:F163)</f>
        <v>0</v>
      </c>
      <c r="G164" s="183">
        <f>IF(ISERROR(E164+F164),"",(E164+F164))</f>
        <v>973919</v>
      </c>
      <c r="H164" s="181">
        <f>IF(ISERROR(G164/$G$183),"",(G164/$G$183))</f>
        <v>0.35071812032410249</v>
      </c>
      <c r="J164" s="136"/>
      <c r="K164" s="136"/>
      <c r="M164" s="237">
        <f t="shared" si="39"/>
        <v>49.528020748576076</v>
      </c>
      <c r="N164" s="243">
        <f>SUMMARY!M164</f>
        <v>48.166333206280392</v>
      </c>
      <c r="O164" s="238">
        <f>M164/N164-1</f>
        <v>2.8270525316179462E-2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'[10]Sch C'!D186</f>
        <v>0</v>
      </c>
      <c r="D167" s="273">
        <f>'[10]Sch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'[10]Sch C'!D187</f>
        <v>0</v>
      </c>
      <c r="D168" s="273">
        <f>'[10]Sch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'[10]Sch C'!D188</f>
        <v>0</v>
      </c>
      <c r="D169" s="273">
        <f>'[10]Sch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'[10]Sch C'!D189</f>
        <v>22800</v>
      </c>
      <c r="D170" s="273">
        <f>'[10]Sch C'!F189</f>
        <v>0</v>
      </c>
      <c r="E170" s="259">
        <f t="shared" si="42"/>
        <v>22800</v>
      </c>
      <c r="F170" s="183"/>
      <c r="G170" s="183">
        <f>IF(ISERROR(E170+F170),"",(E170+F170))</f>
        <v>22800</v>
      </c>
      <c r="H170" s="181">
        <f>IF(ISERROR(G170/$G$183),"",(G170/$G$183))</f>
        <v>8.210511493655568E-3</v>
      </c>
      <c r="I170" s="215"/>
      <c r="J170" s="211"/>
      <c r="K170" s="42"/>
      <c r="M170" s="237">
        <f t="shared" si="43"/>
        <v>1.1594792514239218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'[10]Sch C'!D190</f>
        <v>0</v>
      </c>
      <c r="D171" s="273">
        <f>'[10]Sch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'[10]Sch C'!D191</f>
        <v>8921</v>
      </c>
      <c r="D172" s="273">
        <f>'[10]Sch C'!F191</f>
        <v>0</v>
      </c>
      <c r="E172" s="259">
        <f t="shared" si="42"/>
        <v>8921</v>
      </c>
      <c r="F172" s="183"/>
      <c r="G172" s="183">
        <f t="shared" ref="G172:G181" si="44">IF(ISERROR(E172+F172),"",(E172+F172))</f>
        <v>8921</v>
      </c>
      <c r="H172" s="181">
        <f t="shared" ref="H172:H180" si="45">IF(ISERROR(G172/$G$183),"",(G172/$G$183))</f>
        <v>3.2125426769693561E-3</v>
      </c>
      <c r="I172" s="215"/>
      <c r="J172" s="211"/>
      <c r="K172" s="42"/>
      <c r="M172" s="237">
        <f t="shared" si="43"/>
        <v>0.45367168429617577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'[10]Sch C'!D192</f>
        <v>0</v>
      </c>
      <c r="D173" s="273">
        <f>'[10]Sch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'[10]Sch C'!D193</f>
        <v>0</v>
      </c>
      <c r="D174" s="273">
        <f>'[10]Sch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'[10]Sch C'!D194</f>
        <v>883.83</v>
      </c>
      <c r="D175" s="273">
        <f>'[10]Sch C'!F194</f>
        <v>0</v>
      </c>
      <c r="E175" s="259">
        <f t="shared" si="42"/>
        <v>883.83</v>
      </c>
      <c r="F175" s="183"/>
      <c r="G175" s="183">
        <f t="shared" si="44"/>
        <v>883.83</v>
      </c>
      <c r="H175" s="181">
        <f t="shared" si="45"/>
        <v>3.182761567297193E-4</v>
      </c>
      <c r="I175" s="215"/>
      <c r="J175" s="211"/>
      <c r="K175" s="42"/>
      <c r="M175" s="237">
        <f t="shared" si="43"/>
        <v>4.4946602929210745E-2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'[10]Sch C'!D195</f>
        <v>0</v>
      </c>
      <c r="D176" s="273">
        <f>'[10]Sch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'[10]Sch C'!D196</f>
        <v>0</v>
      </c>
      <c r="D177" s="273">
        <f>'[10]Sch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'[10]Sch C'!D197</f>
        <v>202.26</v>
      </c>
      <c r="D178" s="273">
        <f>'[10]Sch C'!F197</f>
        <v>0</v>
      </c>
      <c r="E178" s="259">
        <f t="shared" si="42"/>
        <v>202.26</v>
      </c>
      <c r="F178" s="183"/>
      <c r="G178" s="183">
        <f t="shared" si="44"/>
        <v>202.26</v>
      </c>
      <c r="H178" s="181">
        <f t="shared" si="45"/>
        <v>7.2835879592402403E-5</v>
      </c>
      <c r="I178" s="215"/>
      <c r="J178" s="211"/>
      <c r="K178" s="42"/>
      <c r="M178" s="237">
        <f t="shared" si="43"/>
        <v>1.028580146460537E-2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'[10]Sch C'!D198</f>
        <v>0</v>
      </c>
      <c r="D179" s="273">
        <f>'[10]Sch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'[10]Sch C'!D199</f>
        <v>0</v>
      </c>
      <c r="D180" s="273">
        <f>'[10]Sch C'!F199</f>
        <v>0</v>
      </c>
      <c r="E180" s="259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32807.090000000004</v>
      </c>
      <c r="D181" s="273">
        <f>SUM(D167:D180)</f>
        <v>0</v>
      </c>
      <c r="E181" s="218">
        <f>SUM(E167:E180)</f>
        <v>32807.090000000004</v>
      </c>
      <c r="F181" s="218">
        <f>SUM(F167:F180)</f>
        <v>0</v>
      </c>
      <c r="G181" s="183">
        <f t="shared" si="44"/>
        <v>32807.090000000004</v>
      </c>
      <c r="H181" s="181">
        <f>IF(ISERROR(G181/$G$183),"",(G181/$G$183))</f>
        <v>1.1814166206947046E-2</v>
      </c>
      <c r="I181" s="219"/>
      <c r="J181" s="211"/>
      <c r="K181" s="211"/>
      <c r="M181" s="237">
        <f t="shared" si="43"/>
        <v>1.6683833401139139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2777029.09</v>
      </c>
      <c r="D183" s="273">
        <f>SUM(D21:D181)/2</f>
        <v>-101</v>
      </c>
      <c r="E183" s="258">
        <f>SUM(E21:E181)/2</f>
        <v>2776928.09</v>
      </c>
      <c r="F183" s="179">
        <f>SUM(F21:F181)/2</f>
        <v>0</v>
      </c>
      <c r="G183" s="179">
        <f>SUM(G21:G181)/2</f>
        <v>2776928.09</v>
      </c>
      <c r="H183" s="181">
        <f>IF(ISERROR(G183/$G$183),"",(G183/$G$183))</f>
        <v>1</v>
      </c>
      <c r="J183" s="261">
        <f>SUM(J21:J181)</f>
        <v>85333</v>
      </c>
      <c r="K183" s="261">
        <f>SUM(K21:K181)</f>
        <v>86447</v>
      </c>
      <c r="M183" s="237">
        <f>IFERROR(G183/G$198,0)</f>
        <v>141.21888171277462</v>
      </c>
      <c r="N183" s="243">
        <f>SUMMARY!M183</f>
        <v>169.52310231129192</v>
      </c>
      <c r="P183" s="178">
        <f>SUM(P57:P181)</f>
        <v>0.5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'[10]Sch C'!D204</f>
        <v>2777029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8.9999999850988388E-2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75486.840000000317</v>
      </c>
      <c r="D190" s="273">
        <f>D17-D183</f>
        <v>101</v>
      </c>
      <c r="E190" s="259">
        <f>E17-E183</f>
        <v>75587.840000000317</v>
      </c>
      <c r="F190" s="180">
        <f>F17-F183</f>
        <v>0</v>
      </c>
      <c r="G190" s="180">
        <f>G17-G183</f>
        <v>75587.840000000317</v>
      </c>
      <c r="J190" s="136"/>
      <c r="K190" s="136"/>
      <c r="M190" s="237">
        <f>IFERROR(G190/G$198,0)</f>
        <v>3.8439707078926117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'[10]Sch D'!C9</f>
        <v>19664</v>
      </c>
      <c r="D194" s="313"/>
      <c r="E194" s="264">
        <f>C194+D194</f>
        <v>19664</v>
      </c>
      <c r="F194" s="224"/>
      <c r="G194" s="225">
        <f>E194+F194</f>
        <v>19664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'[10]Sch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'[10]Sch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'[10]Sch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19664</v>
      </c>
      <c r="D198" s="313"/>
      <c r="E198" s="265">
        <f>SUM(E194:E197)</f>
        <v>19664</v>
      </c>
      <c r="F198" s="229">
        <f>SUM(F194:F197)</f>
        <v>0</v>
      </c>
      <c r="G198" s="229">
        <f>SUM(G194:G197)</f>
        <v>19664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'[10]Sch D'!G22</f>
        <v>54</v>
      </c>
      <c r="D201" s="312"/>
      <c r="E201" s="264">
        <f>C201+D201</f>
        <v>54</v>
      </c>
      <c r="F201" s="224"/>
      <c r="G201" s="231">
        <f>E201+F201</f>
        <v>54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'[10]Sch D'!G24</f>
        <v>54</v>
      </c>
      <c r="D202" s="312"/>
      <c r="E202" s="264">
        <f>C202+D202</f>
        <v>54</v>
      </c>
      <c r="F202" s="226"/>
      <c r="G202" s="231">
        <f>E202+F202</f>
        <v>54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'[10]Sch D'!G28</f>
        <v>19764</v>
      </c>
      <c r="D205" s="283"/>
      <c r="E205" s="260">
        <f>E201*E203</f>
        <v>19764</v>
      </c>
      <c r="F205" s="260">
        <f>G201*F203</f>
        <v>0</v>
      </c>
      <c r="G205" s="224">
        <f>G201*G203</f>
        <v>19764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'[10]Sch D'!G30</f>
        <v>0.99494029548674356</v>
      </c>
      <c r="D206" s="36"/>
      <c r="E206" s="266">
        <f>IFERROR(E198/E205,"0")</f>
        <v>0.99494029548674356</v>
      </c>
      <c r="F206" s="337" t="str">
        <f>IFERROR(F198/F205,"")</f>
        <v/>
      </c>
      <c r="G206" s="233">
        <f>G198/G205</f>
        <v>0.99494029548674356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'[10]Sch D'!G32</f>
        <v>0.99494029548674356</v>
      </c>
      <c r="D207" s="36"/>
      <c r="E207" s="266">
        <f>IFERROR((E194+E195)/E205,"0")</f>
        <v>0.99494029548674356</v>
      </c>
      <c r="F207" s="337" t="str">
        <f>IFERROR(((F194+F195)/F205),"")</f>
        <v/>
      </c>
      <c r="G207" s="233">
        <f>(G194+G195)/G205</f>
        <v>0.99494029548674356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'[10]Sch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17" priority="2" stopIfTrue="1" operator="equal">
      <formula>0</formula>
    </cfRule>
  </conditionalFormatting>
  <conditionalFormatting sqref="C2">
    <cfRule type="cellIs" dxfId="16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FF00"/>
    <pageSetUpPr fitToPage="1"/>
  </sheetPr>
  <dimension ref="A1:P213"/>
  <sheetViews>
    <sheetView showGridLines="0" topLeftCell="A191" zoomScaleNormal="10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401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F4" s="322" t="s">
        <v>390</v>
      </c>
      <c r="G4" s="167"/>
    </row>
    <row r="5" spans="1:16">
      <c r="A5" s="24"/>
      <c r="B5" s="164"/>
      <c r="C5" s="168"/>
      <c r="D5" s="25"/>
      <c r="F5" s="323" t="s">
        <v>399</v>
      </c>
      <c r="G5" s="167"/>
    </row>
    <row r="6" spans="1:16">
      <c r="A6" s="24"/>
      <c r="B6" s="164"/>
      <c r="C6" s="168"/>
      <c r="D6" s="25"/>
      <c r="F6" s="323" t="s">
        <v>402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27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7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'[11]Sch B'!E10</f>
        <v>242970</v>
      </c>
      <c r="D12" s="273">
        <f>'[11]Sch B'!G10</f>
        <v>0</v>
      </c>
      <c r="E12" s="259">
        <f>SUM(C12:D12)</f>
        <v>242970</v>
      </c>
      <c r="F12" s="180">
        <v>481490</v>
      </c>
      <c r="G12" s="180">
        <f>IF(ISERROR(E12+F12)," ",(E12+F12))</f>
        <v>724460</v>
      </c>
      <c r="H12" s="181">
        <f t="shared" ref="H12:H17" si="0">IF(ISERROR(G12/$G$17),"",(G12/$G$17))</f>
        <v>0.99148565830899149</v>
      </c>
      <c r="J12" s="246" t="s">
        <v>346</v>
      </c>
      <c r="K12" s="247">
        <f>G17</f>
        <v>730681.27</v>
      </c>
      <c r="M12" s="237">
        <f>IFERROR(G12/G$194,0)</f>
        <v>178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'[11]Sch B'!E15</f>
        <v>0</v>
      </c>
      <c r="D13" s="273">
        <f>'[11]Sch B'!G15</f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743951.19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'[11]Sch B'!E20</f>
        <v>0</v>
      </c>
      <c r="D14" s="273">
        <f>'[11]Sch B'!G20</f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4070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'[11]Sch B'!E25</f>
        <v>0</v>
      </c>
      <c r="D15" s="273">
        <f>'[11]Sch B'!G25</f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12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'[11]Sch B'!E40</f>
        <v>0</v>
      </c>
      <c r="D16" s="273">
        <f>'[11]Sch B'!G40</f>
        <v>933.27</v>
      </c>
      <c r="E16" s="259">
        <f t="shared" si="1"/>
        <v>933.27</v>
      </c>
      <c r="F16" s="183">
        <v>5288</v>
      </c>
      <c r="G16" s="183">
        <f>IF(ISERROR(E16+F16),"",(E16+F16))</f>
        <v>6221.27</v>
      </c>
      <c r="H16" s="184">
        <f t="shared" si="0"/>
        <v>8.5143416910084483E-3</v>
      </c>
      <c r="J16" s="248" t="s">
        <v>350</v>
      </c>
      <c r="K16" s="249">
        <f>G205</f>
        <v>4392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242970</v>
      </c>
      <c r="D17" s="273">
        <f>SUM(D12:D16)</f>
        <v>933.27</v>
      </c>
      <c r="E17" s="183">
        <f>SUM(E12:E16)</f>
        <v>243903.27</v>
      </c>
      <c r="F17" s="183">
        <f>SUM(F12:F16)</f>
        <v>486778</v>
      </c>
      <c r="G17" s="183">
        <f>IF(ISERROR(E17+F17),"",(E17+F17))</f>
        <v>730681.27</v>
      </c>
      <c r="H17" s="184">
        <f t="shared" si="0"/>
        <v>1</v>
      </c>
      <c r="J17" s="248"/>
      <c r="K17" s="249"/>
      <c r="M17" s="237">
        <f>IFERROR(G17/G$198,0)</f>
        <v>179.52856756756756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20198.85666666667</v>
      </c>
    </row>
    <row r="19" spans="1:14">
      <c r="A19" s="31" t="s">
        <v>336</v>
      </c>
      <c r="B19" s="187" t="s">
        <v>157</v>
      </c>
      <c r="C19" s="168"/>
      <c r="D19" s="25"/>
      <c r="F19" s="327" t="s">
        <v>393</v>
      </c>
      <c r="G19" s="25"/>
      <c r="J19" s="250" t="s">
        <v>309</v>
      </c>
      <c r="K19" s="251">
        <f>K183</f>
        <v>21269.493333333332</v>
      </c>
    </row>
    <row r="20" spans="1:14">
      <c r="A20" s="188" t="s">
        <v>197</v>
      </c>
      <c r="B20" s="164" t="s">
        <v>19</v>
      </c>
      <c r="F20" s="327" t="s">
        <v>394</v>
      </c>
    </row>
    <row r="21" spans="1:14" s="43" customFormat="1">
      <c r="A21" s="130" t="s">
        <v>198</v>
      </c>
      <c r="B21" s="116" t="s">
        <v>20</v>
      </c>
      <c r="C21" s="273">
        <f>'[11]Sch C'!D10</f>
        <v>8379</v>
      </c>
      <c r="D21" s="273">
        <f>'[11]Sch C'!F10</f>
        <v>0</v>
      </c>
      <c r="E21" s="259">
        <f t="shared" ref="E21:E56" si="2">SUM(C21:D21)</f>
        <v>8379</v>
      </c>
      <c r="F21" s="180">
        <v>9603</v>
      </c>
      <c r="G21" s="180">
        <f t="shared" ref="G21:G57" si="3">IF(ISERROR(E21+F21),"",(E21+F21))</f>
        <v>17982</v>
      </c>
      <c r="H21" s="181">
        <f>IF(ISERROR(G21/$G$183),"",(G21/$G$183))</f>
        <v>2.4170940569367194E-2</v>
      </c>
      <c r="J21" s="261">
        <f>464+344</f>
        <v>808</v>
      </c>
      <c r="K21" s="261">
        <f>533.333333333333+360</f>
        <v>893.33333333333303</v>
      </c>
      <c r="M21" s="237">
        <f>IFERROR(G21/G$198,0)</f>
        <v>4.418181818181818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'[11]Sch C'!D11</f>
        <v>0</v>
      </c>
      <c r="D22" s="273">
        <f>'[11]Sch C'!F11</f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'[11]Sch C'!D12</f>
        <v>4692</v>
      </c>
      <c r="D23" s="273">
        <f>'[11]Sch C'!F12</f>
        <v>0</v>
      </c>
      <c r="E23" s="259">
        <f t="shared" si="2"/>
        <v>4692</v>
      </c>
      <c r="F23" s="183">
        <v>9535</v>
      </c>
      <c r="G23" s="183">
        <f t="shared" si="3"/>
        <v>14227</v>
      </c>
      <c r="H23" s="181">
        <f t="shared" si="4"/>
        <v>1.9123566426447951E-2</v>
      </c>
      <c r="J23" s="189">
        <f>136+660</f>
        <v>796</v>
      </c>
      <c r="K23" s="189">
        <f>146.666666666667+692</f>
        <v>838.66666666666697</v>
      </c>
      <c r="M23" s="237">
        <f t="shared" si="5"/>
        <v>3.4955773955773957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'[11]Sch C'!D13</f>
        <v>9713</v>
      </c>
      <c r="D24" s="273">
        <f>'[11]Sch C'!F13</f>
        <v>-8366</v>
      </c>
      <c r="E24" s="259">
        <f t="shared" si="2"/>
        <v>1347</v>
      </c>
      <c r="F24" s="183">
        <v>3367</v>
      </c>
      <c r="G24" s="183">
        <f t="shared" si="3"/>
        <v>4714</v>
      </c>
      <c r="H24" s="181">
        <f t="shared" si="4"/>
        <v>6.3364372063172587E-3</v>
      </c>
      <c r="J24" s="136"/>
      <c r="K24" s="136"/>
      <c r="M24" s="237">
        <f t="shared" si="5"/>
        <v>1.1582309582309582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'[11]Sch C'!D14</f>
        <v>0</v>
      </c>
      <c r="D25" s="273">
        <f>'[11]Sch C'!F14</f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'[11]Sch C'!D15</f>
        <v>14684</v>
      </c>
      <c r="D26" s="273">
        <f>'[11]Sch C'!F15</f>
        <v>0</v>
      </c>
      <c r="E26" s="259">
        <f t="shared" si="2"/>
        <v>14684</v>
      </c>
      <c r="F26" s="183">
        <v>30074</v>
      </c>
      <c r="G26" s="183">
        <f t="shared" si="3"/>
        <v>44758</v>
      </c>
      <c r="H26" s="181">
        <f t="shared" si="4"/>
        <v>6.0162549104868027E-2</v>
      </c>
      <c r="J26" s="136"/>
      <c r="K26" s="136"/>
      <c r="M26" s="237">
        <f t="shared" si="5"/>
        <v>10.997051597051597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'[11]Sch C'!D16</f>
        <v>46292</v>
      </c>
      <c r="D27" s="273">
        <f>'[11]Sch C'!F16</f>
        <v>955.72</v>
      </c>
      <c r="E27" s="259">
        <f t="shared" si="2"/>
        <v>47247.72</v>
      </c>
      <c r="F27" s="183">
        <v>25600</v>
      </c>
      <c r="G27" s="183">
        <f t="shared" si="3"/>
        <v>72847.72</v>
      </c>
      <c r="H27" s="181">
        <f t="shared" si="4"/>
        <v>9.7920026178061503E-2</v>
      </c>
      <c r="J27" s="136"/>
      <c r="K27" s="136"/>
      <c r="M27" s="237">
        <f t="shared" si="5"/>
        <v>17.898702702702703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'[11]Sch C'!D17</f>
        <v>124</v>
      </c>
      <c r="D28" s="273">
        <f>'[11]Sch C'!F17</f>
        <v>0</v>
      </c>
      <c r="E28" s="259">
        <f t="shared" si="2"/>
        <v>124</v>
      </c>
      <c r="F28" s="183">
        <v>452</v>
      </c>
      <c r="G28" s="183">
        <f t="shared" si="3"/>
        <v>576</v>
      </c>
      <c r="H28" s="181">
        <f t="shared" si="4"/>
        <v>7.742443425623125E-4</v>
      </c>
      <c r="J28" s="136"/>
      <c r="K28" s="136"/>
      <c r="M28" s="237">
        <f t="shared" si="5"/>
        <v>0.14152334152334153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'[11]Sch C'!D18</f>
        <v>2158</v>
      </c>
      <c r="D29" s="273">
        <f>'[11]Sch C'!F18</f>
        <v>0</v>
      </c>
      <c r="E29" s="259">
        <f t="shared" si="2"/>
        <v>2158</v>
      </c>
      <c r="F29" s="183">
        <v>4456</v>
      </c>
      <c r="G29" s="183">
        <f t="shared" si="3"/>
        <v>6614</v>
      </c>
      <c r="H29" s="181">
        <f t="shared" si="4"/>
        <v>8.8903681974082209E-3</v>
      </c>
      <c r="J29" s="136"/>
      <c r="K29" s="136"/>
      <c r="M29" s="237">
        <f t="shared" si="5"/>
        <v>1.625061425061425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'[11]Sch C'!D19</f>
        <v>1027</v>
      </c>
      <c r="D30" s="273">
        <f>'[11]Sch C'!F19</f>
        <v>0</v>
      </c>
      <c r="E30" s="259">
        <f t="shared" si="2"/>
        <v>1027</v>
      </c>
      <c r="F30" s="183">
        <v>3526</v>
      </c>
      <c r="G30" s="183">
        <f t="shared" si="3"/>
        <v>4553</v>
      </c>
      <c r="H30" s="181">
        <f t="shared" si="4"/>
        <v>6.1200251591774458E-3</v>
      </c>
      <c r="J30" s="136"/>
      <c r="K30" s="136"/>
      <c r="M30" s="237">
        <f t="shared" si="5"/>
        <v>1.1186732186732187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'[11]Sch C'!D20</f>
        <v>1702</v>
      </c>
      <c r="D31" s="273">
        <f>'[11]Sch C'!F20</f>
        <v>-853.45</v>
      </c>
      <c r="E31" s="259">
        <f t="shared" si="2"/>
        <v>848.55</v>
      </c>
      <c r="F31" s="183">
        <v>306</v>
      </c>
      <c r="G31" s="183">
        <f t="shared" si="3"/>
        <v>1154.55</v>
      </c>
      <c r="H31" s="181">
        <f t="shared" si="4"/>
        <v>1.5519163293495103E-3</v>
      </c>
      <c r="J31" s="136"/>
      <c r="K31" s="136"/>
      <c r="M31" s="237">
        <f t="shared" si="5"/>
        <v>0.28367321867321865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'[11]Sch C'!D21</f>
        <v>0</v>
      </c>
      <c r="D32" s="273">
        <f>'[11]Sch C'!F21</f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'[11]Sch C'!D22</f>
        <v>0</v>
      </c>
      <c r="D33" s="273">
        <f>'[11]Sch C'!F22</f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'[11]Sch C'!D23</f>
        <v>3353</v>
      </c>
      <c r="D34" s="273">
        <f>'[11]Sch C'!F23</f>
        <v>0</v>
      </c>
      <c r="E34" s="259">
        <f t="shared" si="2"/>
        <v>3353</v>
      </c>
      <c r="F34" s="183">
        <v>5558</v>
      </c>
      <c r="G34" s="183">
        <f t="shared" si="3"/>
        <v>8911</v>
      </c>
      <c r="H34" s="181">
        <f t="shared" si="4"/>
        <v>1.197793634821661E-2</v>
      </c>
      <c r="J34" s="136"/>
      <c r="K34" s="136"/>
      <c r="M34" s="237">
        <f t="shared" si="5"/>
        <v>2.1894348894348896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'[11]Sch C'!D24</f>
        <v>0</v>
      </c>
      <c r="D35" s="273">
        <f>'[11]Sch C'!F24</f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'[11]Sch C'!D25</f>
        <v>380</v>
      </c>
      <c r="D36" s="273">
        <f>'[11]Sch C'!F25</f>
        <v>-73.95</v>
      </c>
      <c r="E36" s="259">
        <f t="shared" si="2"/>
        <v>306.05</v>
      </c>
      <c r="F36" s="183">
        <v>0</v>
      </c>
      <c r="G36" s="183">
        <f t="shared" si="3"/>
        <v>306.05</v>
      </c>
      <c r="H36" s="181">
        <f t="shared" si="4"/>
        <v>4.1138451569652042E-4</v>
      </c>
      <c r="J36" s="136"/>
      <c r="K36" s="136"/>
      <c r="M36" s="237">
        <f t="shared" si="5"/>
        <v>7.5196560196560194E-2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'[11]Sch C'!D26</f>
        <v>11548</v>
      </c>
      <c r="D37" s="273">
        <f>'[11]Sch C'!F26</f>
        <v>0</v>
      </c>
      <c r="E37" s="259">
        <f t="shared" si="2"/>
        <v>11548</v>
      </c>
      <c r="F37" s="183">
        <v>22884</v>
      </c>
      <c r="G37" s="183">
        <f t="shared" si="3"/>
        <v>34432</v>
      </c>
      <c r="H37" s="181">
        <f t="shared" si="4"/>
        <v>4.6282606255391573E-2</v>
      </c>
      <c r="J37" s="136"/>
      <c r="K37" s="136"/>
      <c r="M37" s="237">
        <f t="shared" si="5"/>
        <v>8.4599508599508599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'[11]Sch C'!D27</f>
        <v>0</v>
      </c>
      <c r="D38" s="273">
        <f>'[11]Sch C'!F27</f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'[11]Sch C'!D28</f>
        <v>0</v>
      </c>
      <c r="D39" s="273">
        <f>'[11]Sch C'!F28</f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'[11]Sch C'!D29</f>
        <v>0</v>
      </c>
      <c r="D40" s="273">
        <f>'[11]Sch C'!F29</f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'[11]Sch C'!D30</f>
        <v>0</v>
      </c>
      <c r="D41" s="273">
        <f>'[11]Sch C'!F30</f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'[11]Sch C'!D31</f>
        <v>2395</v>
      </c>
      <c r="D42" s="273">
        <f>'[11]Sch C'!F31</f>
        <v>0</v>
      </c>
      <c r="E42" s="259">
        <f t="shared" si="2"/>
        <v>2395</v>
      </c>
      <c r="F42" s="183">
        <v>4081</v>
      </c>
      <c r="G42" s="183">
        <f t="shared" si="3"/>
        <v>6476</v>
      </c>
      <c r="H42" s="181">
        <f t="shared" si="4"/>
        <v>8.7048721570026667E-3</v>
      </c>
      <c r="J42" s="136"/>
      <c r="K42" s="136"/>
      <c r="M42" s="237">
        <f t="shared" si="5"/>
        <v>1.5911547911547912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'[11]Sch C'!D32</f>
        <v>0</v>
      </c>
      <c r="D43" s="273">
        <f>'[11]Sch C'!F32</f>
        <v>0</v>
      </c>
      <c r="E43" s="259">
        <f t="shared" si="2"/>
        <v>0</v>
      </c>
      <c r="F43" s="183">
        <v>1035</v>
      </c>
      <c r="G43" s="183">
        <f t="shared" si="3"/>
        <v>1035</v>
      </c>
      <c r="H43" s="181">
        <f t="shared" si="4"/>
        <v>1.3912203030416552E-3</v>
      </c>
      <c r="J43" s="136"/>
      <c r="K43" s="136"/>
      <c r="M43" s="237">
        <f t="shared" si="5"/>
        <v>0.25429975429975432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'[11]Sch C'!D33</f>
        <v>0</v>
      </c>
      <c r="D44" s="273">
        <f>'[11]Sch C'!F33</f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'[11]Sch C'!D34</f>
        <v>0</v>
      </c>
      <c r="D45" s="273">
        <f>'[11]Sch C'!F34</f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'[11]Sch C'!D35</f>
        <v>0</v>
      </c>
      <c r="D46" s="273">
        <f>'[11]Sch C'!F35</f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'[11]Sch C'!D36</f>
        <v>0</v>
      </c>
      <c r="D47" s="273">
        <f>'[11]Sch C'!F36</f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'[11]Sch C'!D37</f>
        <v>0</v>
      </c>
      <c r="D48" s="273">
        <f>'[11]Sch C'!F37</f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'[11]Sch C'!D38</f>
        <v>0</v>
      </c>
      <c r="D49" s="273">
        <f>'[11]Sch C'!F38</f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'[11]Sch C'!D39</f>
        <v>45</v>
      </c>
      <c r="D50" s="273">
        <f>'[11]Sch C'!F39</f>
        <v>0</v>
      </c>
      <c r="E50" s="259">
        <f t="shared" si="2"/>
        <v>45</v>
      </c>
      <c r="F50" s="183">
        <v>0</v>
      </c>
      <c r="G50" s="183">
        <f t="shared" si="3"/>
        <v>45</v>
      </c>
      <c r="H50" s="181">
        <f t="shared" si="4"/>
        <v>6.0487839262680665E-5</v>
      </c>
      <c r="J50" s="136"/>
      <c r="K50" s="136"/>
      <c r="M50" s="237">
        <f t="shared" si="5"/>
        <v>1.1056511056511056E-2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'[11]Sch C'!D40</f>
        <v>0</v>
      </c>
      <c r="D51" s="273">
        <f>'[11]Sch C'!F40</f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'[11]Sch C'!D41</f>
        <v>1628</v>
      </c>
      <c r="D52" s="273">
        <f>'[11]Sch C'!F41</f>
        <v>0</v>
      </c>
      <c r="E52" s="259">
        <f t="shared" si="2"/>
        <v>1628</v>
      </c>
      <c r="F52" s="183">
        <v>2701</v>
      </c>
      <c r="G52" s="183">
        <f t="shared" si="3"/>
        <v>4329</v>
      </c>
      <c r="H52" s="181">
        <f t="shared" si="4"/>
        <v>5.8189301370698797E-3</v>
      </c>
      <c r="J52" s="136"/>
      <c r="K52" s="136"/>
      <c r="M52" s="237">
        <f t="shared" si="5"/>
        <v>1.0636363636363637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'[11]Sch C'!D42</f>
        <v>0</v>
      </c>
      <c r="D53" s="273">
        <f>'[11]Sch C'!F42</f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'[11]Sch C'!D43</f>
        <v>1071</v>
      </c>
      <c r="D54" s="273">
        <f>'[11]Sch C'!F43</f>
        <v>0</v>
      </c>
      <c r="E54" s="259">
        <f t="shared" si="2"/>
        <v>1071</v>
      </c>
      <c r="F54" s="183">
        <v>819</v>
      </c>
      <c r="G54" s="183">
        <f t="shared" si="3"/>
        <v>1890</v>
      </c>
      <c r="H54" s="181">
        <f t="shared" si="4"/>
        <v>2.5404892490325879E-3</v>
      </c>
      <c r="J54" s="136"/>
      <c r="K54" s="136"/>
      <c r="M54" s="237">
        <f t="shared" si="5"/>
        <v>0.46437346437346438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'[11]Sch C'!D44</f>
        <v>0</v>
      </c>
      <c r="D55" s="273">
        <f>'[11]Sch C'!F44</f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'[11]Sch C'!D45</f>
        <v>0</v>
      </c>
      <c r="D56" s="273">
        <f>'[11]Sch C'!F45</f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109191</v>
      </c>
      <c r="D57" s="273">
        <f>SUM(D21:D56)</f>
        <v>-8337.68</v>
      </c>
      <c r="E57" s="183">
        <f>SUM(E21:E56)</f>
        <v>100853.32</v>
      </c>
      <c r="F57" s="183">
        <f>SUM(F21:F56)</f>
        <v>123997</v>
      </c>
      <c r="G57" s="183">
        <f t="shared" si="3"/>
        <v>224850.32</v>
      </c>
      <c r="H57" s="181">
        <f t="shared" si="4"/>
        <v>0.30223800031827358</v>
      </c>
      <c r="J57" s="136"/>
      <c r="K57" s="136"/>
      <c r="M57" s="237">
        <f t="shared" si="5"/>
        <v>55.245778869778874</v>
      </c>
      <c r="N57" s="243">
        <f>SUMMARY!M57</f>
        <v>39.672950949912064</v>
      </c>
      <c r="O57" s="238">
        <f>M57/N57-1</f>
        <v>0.39253011301145291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'[11]Sch C'!D57</f>
        <v>833</v>
      </c>
      <c r="D60" s="273">
        <f>'[11]Sch C'!F57</f>
        <v>0</v>
      </c>
      <c r="E60" s="259">
        <f t="shared" ref="E60:E76" si="6">SUM(C60:D60)</f>
        <v>833</v>
      </c>
      <c r="F60" s="179">
        <v>22312</v>
      </c>
      <c r="G60" s="179">
        <f>IF(ISERROR(E60+F60),"",(E60+F60))</f>
        <v>23145</v>
      </c>
      <c r="H60" s="181">
        <f>IF(ISERROR(G60/$G$183),"",(G60/$G$183))</f>
        <v>3.1110911994105421E-2</v>
      </c>
      <c r="J60" s="136"/>
      <c r="K60" s="136"/>
      <c r="M60" s="237">
        <f>IFERROR(G60/G$198,0)</f>
        <v>5.6867321867321872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'[11]Sch C'!D58</f>
        <v>2177</v>
      </c>
      <c r="D61" s="273">
        <f>'[11]Sch C'!F58</f>
        <v>0</v>
      </c>
      <c r="E61" s="259">
        <f t="shared" si="6"/>
        <v>2177</v>
      </c>
      <c r="F61" s="179">
        <v>0</v>
      </c>
      <c r="G61" s="179">
        <f t="shared" ref="G61:G76" si="7">IF(ISERROR(E61+F61),"",(E61+F61))</f>
        <v>2177</v>
      </c>
      <c r="H61" s="181">
        <f t="shared" ref="H61:H76" si="8">IF(ISERROR(G61/$G$183),"",(G61/$G$183))</f>
        <v>2.9262672461079068E-3</v>
      </c>
      <c r="J61" s="136"/>
      <c r="K61" s="136"/>
      <c r="M61" s="237">
        <f t="shared" ref="M61:M77" si="9">IFERROR(G61/G$198,0)</f>
        <v>0.53488943488943486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'[11]Sch C'!D59</f>
        <v>6018</v>
      </c>
      <c r="D62" s="273">
        <f>'[11]Sch C'!F59</f>
        <v>-519.13</v>
      </c>
      <c r="E62" s="259">
        <f t="shared" si="6"/>
        <v>5498.87</v>
      </c>
      <c r="F62" s="179">
        <v>0</v>
      </c>
      <c r="G62" s="179">
        <f t="shared" si="7"/>
        <v>5498.87</v>
      </c>
      <c r="H62" s="181">
        <f t="shared" si="8"/>
        <v>7.3914392152528187E-3</v>
      </c>
      <c r="J62" s="136"/>
      <c r="K62" s="136"/>
      <c r="M62" s="237">
        <f t="shared" si="9"/>
        <v>1.35107371007371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'[11]Sch C'!D60</f>
        <v>0</v>
      </c>
      <c r="D63" s="273">
        <f>'[11]Sch C'!F60</f>
        <v>0</v>
      </c>
      <c r="E63" s="259">
        <f t="shared" si="6"/>
        <v>0</v>
      </c>
      <c r="F63" s="179">
        <v>0</v>
      </c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'[11]Sch C'!D61</f>
        <v>512</v>
      </c>
      <c r="D64" s="273">
        <f>'[11]Sch C'!F61</f>
        <v>0</v>
      </c>
      <c r="E64" s="259">
        <f t="shared" si="6"/>
        <v>512</v>
      </c>
      <c r="F64" s="179">
        <v>4628</v>
      </c>
      <c r="G64" s="179">
        <f t="shared" si="7"/>
        <v>5140</v>
      </c>
      <c r="H64" s="181">
        <f t="shared" si="8"/>
        <v>6.909055418003969E-3</v>
      </c>
      <c r="J64" s="136"/>
      <c r="K64" s="136"/>
      <c r="M64" s="237">
        <f t="shared" si="9"/>
        <v>1.2628992628992628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'[11]Sch C'!D62</f>
        <v>0</v>
      </c>
      <c r="D65" s="273">
        <f>'[11]Sch C'!F62</f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'[11]Sch C'!D63</f>
        <v>0</v>
      </c>
      <c r="D66" s="273">
        <f>'[11]Sch C'!F63</f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'[11]Sch C'!D64</f>
        <v>816</v>
      </c>
      <c r="D67" s="273">
        <f>'[11]Sch C'!F64</f>
        <v>0</v>
      </c>
      <c r="E67" s="259">
        <f t="shared" si="6"/>
        <v>816</v>
      </c>
      <c r="F67" s="179">
        <v>0</v>
      </c>
      <c r="G67" s="179">
        <f t="shared" si="7"/>
        <v>816</v>
      </c>
      <c r="H67" s="181">
        <f t="shared" si="8"/>
        <v>1.096846151963276E-3</v>
      </c>
      <c r="J67" s="136"/>
      <c r="K67" s="136"/>
      <c r="M67" s="237">
        <f t="shared" si="9"/>
        <v>0.20049140049140049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'[11]Sch C'!D65</f>
        <v>0</v>
      </c>
      <c r="D68" s="273">
        <f>'[11]Sch C'!F65</f>
        <v>0</v>
      </c>
      <c r="E68" s="259">
        <f t="shared" si="6"/>
        <v>0</v>
      </c>
      <c r="F68" s="179">
        <v>0</v>
      </c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'[11]Sch C'!D66</f>
        <v>0</v>
      </c>
      <c r="D69" s="273">
        <f>'[11]Sch C'!F66</f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'[11]Sch C'!D67</f>
        <v>594</v>
      </c>
      <c r="D70" s="273">
        <f>'[11]Sch C'!F67</f>
        <v>0</v>
      </c>
      <c r="E70" s="259">
        <f t="shared" si="6"/>
        <v>594</v>
      </c>
      <c r="F70" s="179">
        <v>833</v>
      </c>
      <c r="G70" s="179">
        <f t="shared" si="7"/>
        <v>1427</v>
      </c>
      <c r="H70" s="181">
        <f t="shared" si="8"/>
        <v>1.9181365917298957E-3</v>
      </c>
      <c r="J70" s="136"/>
      <c r="K70" s="136"/>
      <c r="M70" s="237">
        <f t="shared" si="9"/>
        <v>0.35061425061425061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'[11]Sch C'!D68</f>
        <v>0</v>
      </c>
      <c r="D71" s="273">
        <f>'[11]Sch C'!F68</f>
        <v>0</v>
      </c>
      <c r="E71" s="259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'[11]Sch C'!D69</f>
        <v>317</v>
      </c>
      <c r="D72" s="273">
        <f>'[11]Sch C'!F69</f>
        <v>0</v>
      </c>
      <c r="E72" s="259">
        <f t="shared" si="6"/>
        <v>317</v>
      </c>
      <c r="F72" s="179">
        <v>0</v>
      </c>
      <c r="G72" s="179">
        <f t="shared" si="7"/>
        <v>317</v>
      </c>
      <c r="H72" s="181">
        <f t="shared" si="8"/>
        <v>4.2610322325043934E-4</v>
      </c>
      <c r="J72" s="136"/>
      <c r="K72" s="136"/>
      <c r="M72" s="237">
        <f t="shared" si="9"/>
        <v>7.788697788697789E-2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'[11]Sch C'!D70</f>
        <v>0</v>
      </c>
      <c r="D73" s="273">
        <f>'[11]Sch C'!F70</f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'[11]Sch C'!D71</f>
        <v>0</v>
      </c>
      <c r="D74" s="273">
        <f>'[11]Sch C'!F71</f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'[11]Sch C'!D72</f>
        <v>0</v>
      </c>
      <c r="D75" s="273">
        <f>'[11]Sch C'!F72</f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'[11]Sch C'!D73</f>
        <v>0</v>
      </c>
      <c r="D76" s="273">
        <f>'[11]Sch C'!F73</f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11267</v>
      </c>
      <c r="D77" s="273">
        <f>SUM(D60:D76)</f>
        <v>-519.13</v>
      </c>
      <c r="E77" s="182">
        <f>SUM(E60:E76)</f>
        <v>10747.869999999999</v>
      </c>
      <c r="F77" s="182">
        <f>SUM(F60:F76)</f>
        <v>27773</v>
      </c>
      <c r="G77" s="183">
        <f>IF(ISERROR(E77+F77),"",(E77+F77))</f>
        <v>38520.869999999995</v>
      </c>
      <c r="H77" s="181">
        <f>IF(ISERROR(G77/$G$183),"",(G77/$G$183))</f>
        <v>5.1778759840413718E-2</v>
      </c>
      <c r="J77" s="136"/>
      <c r="K77" s="136"/>
      <c r="M77" s="237">
        <f t="shared" si="9"/>
        <v>9.4645872235872233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'[11]Sch C'!D78</f>
        <v>0</v>
      </c>
      <c r="D80" s="273">
        <f>'[11]Sch C'!F78</f>
        <v>0</v>
      </c>
      <c r="E80" s="259">
        <f t="shared" ref="E80:E91" si="10">SUM(C80:D80)</f>
        <v>0</v>
      </c>
      <c r="F80" s="180">
        <v>0</v>
      </c>
      <c r="G80" s="180">
        <f>IF(ISERROR(E80+F80),"",(E80+F80))</f>
        <v>0</v>
      </c>
      <c r="H80" s="181">
        <f t="shared" ref="H80:H92" si="11">IF(ISERROR(G80/$G$183),"",(G80/$G$183))</f>
        <v>0</v>
      </c>
      <c r="J80" s="261">
        <v>0</v>
      </c>
      <c r="K80" s="261">
        <v>0</v>
      </c>
      <c r="M80" s="237">
        <f t="shared" ref="M80:M92" si="12">IFERROR(G80/G$198,0)</f>
        <v>0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'[11]Sch C'!D79</f>
        <v>0</v>
      </c>
      <c r="D81" s="273">
        <f>'[11]Sch C'!F79</f>
        <v>0</v>
      </c>
      <c r="E81" s="259">
        <f t="shared" si="10"/>
        <v>0</v>
      </c>
      <c r="F81" s="183">
        <v>0</v>
      </c>
      <c r="G81" s="183">
        <f>IF(ISERROR(E81+F81),"",(E81+F81))</f>
        <v>0</v>
      </c>
      <c r="H81" s="181">
        <f t="shared" si="11"/>
        <v>0</v>
      </c>
      <c r="J81" s="136"/>
      <c r="K81" s="136"/>
      <c r="M81" s="237">
        <f t="shared" si="12"/>
        <v>0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'[11]Sch C'!D80</f>
        <v>0</v>
      </c>
      <c r="D82" s="273">
        <f>'[11]Sch C'!F80</f>
        <v>0</v>
      </c>
      <c r="E82" s="259">
        <f t="shared" si="10"/>
        <v>0</v>
      </c>
      <c r="F82" s="183">
        <v>14</v>
      </c>
      <c r="G82" s="183">
        <f>IF(ISERROR(E82+F82),"",(E82+F82))</f>
        <v>14</v>
      </c>
      <c r="H82" s="181">
        <f t="shared" si="11"/>
        <v>1.8818438881722873E-5</v>
      </c>
      <c r="J82" s="136"/>
      <c r="K82" s="136"/>
      <c r="M82" s="237">
        <f t="shared" si="12"/>
        <v>3.4398034398034397E-3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'[11]Sch C'!D81</f>
        <v>166</v>
      </c>
      <c r="D83" s="273">
        <f>'[11]Sch C'!F81</f>
        <v>0</v>
      </c>
      <c r="E83" s="259">
        <f t="shared" si="10"/>
        <v>166</v>
      </c>
      <c r="F83" s="183">
        <v>5137</v>
      </c>
      <c r="G83" s="183">
        <f>IF(ISERROR(E83+F83),"",(E83+F83))</f>
        <v>5303</v>
      </c>
      <c r="H83" s="181">
        <f t="shared" si="11"/>
        <v>7.1281558135554571E-3</v>
      </c>
      <c r="J83" s="136"/>
      <c r="K83" s="136"/>
      <c r="M83" s="237">
        <f t="shared" si="12"/>
        <v>1.3029484029484029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'[11]Sch C'!D82</f>
        <v>0</v>
      </c>
      <c r="D84" s="273">
        <f>'[11]Sch C'!F82</f>
        <v>0</v>
      </c>
      <c r="E84" s="259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'[11]Sch C'!D83</f>
        <v>1824</v>
      </c>
      <c r="D85" s="273">
        <f>'[11]Sch C'!F83</f>
        <v>0</v>
      </c>
      <c r="E85" s="259">
        <f t="shared" si="10"/>
        <v>1824</v>
      </c>
      <c r="F85" s="183">
        <v>673</v>
      </c>
      <c r="G85" s="183">
        <f t="shared" si="13"/>
        <v>2497</v>
      </c>
      <c r="H85" s="181">
        <f t="shared" si="11"/>
        <v>3.3564029919758583E-3</v>
      </c>
      <c r="J85" s="136"/>
      <c r="K85" s="136"/>
      <c r="M85" s="237">
        <f t="shared" si="12"/>
        <v>0.61351351351351346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'[11]Sch C'!D84</f>
        <v>195</v>
      </c>
      <c r="D86" s="273">
        <f>'[11]Sch C'!F84</f>
        <v>0</v>
      </c>
      <c r="E86" s="259">
        <f t="shared" si="10"/>
        <v>195</v>
      </c>
      <c r="F86" s="183">
        <v>7381</v>
      </c>
      <c r="G86" s="183">
        <f t="shared" si="13"/>
        <v>7576</v>
      </c>
      <c r="H86" s="181">
        <f t="shared" si="11"/>
        <v>1.018346378342375E-2</v>
      </c>
      <c r="J86" s="136"/>
      <c r="K86" s="136"/>
      <c r="M86" s="237">
        <f t="shared" si="12"/>
        <v>1.8614250614250614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'[11]Sch C'!D85</f>
        <v>2988</v>
      </c>
      <c r="D87" s="273">
        <f>'[11]Sch C'!F85</f>
        <v>0</v>
      </c>
      <c r="E87" s="259">
        <f t="shared" si="10"/>
        <v>2988</v>
      </c>
      <c r="F87" s="183">
        <v>481</v>
      </c>
      <c r="G87" s="183">
        <f t="shared" si="13"/>
        <v>3469</v>
      </c>
      <c r="H87" s="181">
        <f t="shared" si="11"/>
        <v>4.662940320049761E-3</v>
      </c>
      <c r="J87" s="136"/>
      <c r="K87" s="136"/>
      <c r="M87" s="237">
        <f t="shared" si="12"/>
        <v>0.85233415233415233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'[11]Sch C'!D86</f>
        <v>0</v>
      </c>
      <c r="D88" s="273">
        <f>'[11]Sch C'!F86</f>
        <v>0</v>
      </c>
      <c r="E88" s="259">
        <f t="shared" si="10"/>
        <v>0</v>
      </c>
      <c r="F88" s="183">
        <v>0</v>
      </c>
      <c r="G88" s="183">
        <f t="shared" si="13"/>
        <v>0</v>
      </c>
      <c r="H88" s="181">
        <f t="shared" si="11"/>
        <v>0</v>
      </c>
      <c r="J88" s="136"/>
      <c r="K88" s="136"/>
      <c r="M88" s="237">
        <f t="shared" si="12"/>
        <v>0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'[11]Sch C'!D87</f>
        <v>2536</v>
      </c>
      <c r="D89" s="273">
        <f>'[11]Sch C'!F87</f>
        <v>0</v>
      </c>
      <c r="E89" s="259">
        <f t="shared" si="10"/>
        <v>2536</v>
      </c>
      <c r="F89" s="183">
        <v>4522</v>
      </c>
      <c r="G89" s="183">
        <f t="shared" si="13"/>
        <v>7058</v>
      </c>
      <c r="H89" s="181">
        <f t="shared" si="11"/>
        <v>9.4871815448000028E-3</v>
      </c>
      <c r="J89" s="136"/>
      <c r="K89" s="136"/>
      <c r="M89" s="237">
        <f t="shared" si="12"/>
        <v>1.7341523341523342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'[11]Sch C'!D88</f>
        <v>0</v>
      </c>
      <c r="D90" s="273">
        <f>'[11]Sch C'!F88</f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'[11]Sch C'!D89</f>
        <v>3949</v>
      </c>
      <c r="D91" s="273">
        <f>'[11]Sch C'!F89</f>
        <v>0</v>
      </c>
      <c r="E91" s="259">
        <f t="shared" si="10"/>
        <v>3949</v>
      </c>
      <c r="F91" s="183">
        <v>4433</v>
      </c>
      <c r="G91" s="183">
        <f t="shared" si="13"/>
        <v>8382</v>
      </c>
      <c r="H91" s="181">
        <f t="shared" si="11"/>
        <v>1.1266868193328651E-2</v>
      </c>
      <c r="J91" s="136"/>
      <c r="K91" s="136"/>
      <c r="M91" s="237">
        <f t="shared" si="12"/>
        <v>2.0594594594594593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11658</v>
      </c>
      <c r="D92" s="273">
        <f>SUM(D80:D91)</f>
        <v>0</v>
      </c>
      <c r="E92" s="183">
        <f>SUM(E80:E91)</f>
        <v>11658</v>
      </c>
      <c r="F92" s="183">
        <f>SUM(F80:F91)</f>
        <v>22641</v>
      </c>
      <c r="G92" s="183">
        <f>IF(ISERROR(E92+F92),"",(E92+F92))</f>
        <v>34299</v>
      </c>
      <c r="H92" s="181">
        <f t="shared" si="11"/>
        <v>4.61038310860152E-2</v>
      </c>
      <c r="J92" s="136"/>
      <c r="K92" s="136"/>
      <c r="M92" s="237">
        <f t="shared" si="12"/>
        <v>8.4272727272727277</v>
      </c>
      <c r="N92" s="243">
        <f>SUMMARY!M92</f>
        <v>10.36414021133649</v>
      </c>
      <c r="O92" s="238">
        <f>M92/N92-1</f>
        <v>-0.18688163654378009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'[11]Sch C'!D93</f>
        <v>0</v>
      </c>
      <c r="D95" s="273">
        <f>'[11]Sch C'!F93</f>
        <v>0</v>
      </c>
      <c r="E95" s="259">
        <f t="shared" ref="E95:E100" si="14">SUM(C95:D95)</f>
        <v>0</v>
      </c>
      <c r="F95" s="180">
        <v>0</v>
      </c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1">
        <v>0</v>
      </c>
      <c r="K95" s="261">
        <v>0</v>
      </c>
      <c r="M95" s="237">
        <f t="shared" ref="M95:M101" si="17">IFERROR(G95/G$198,0)</f>
        <v>0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'[11]Sch C'!D94</f>
        <v>0</v>
      </c>
      <c r="D96" s="273">
        <f>'[11]Sch C'!F94</f>
        <v>0</v>
      </c>
      <c r="E96" s="259">
        <f t="shared" si="14"/>
        <v>0</v>
      </c>
      <c r="F96" s="183">
        <v>0</v>
      </c>
      <c r="G96" s="183">
        <f t="shared" si="15"/>
        <v>0</v>
      </c>
      <c r="H96" s="181">
        <f t="shared" si="16"/>
        <v>0</v>
      </c>
      <c r="J96" s="136"/>
      <c r="K96" s="136"/>
      <c r="M96" s="237">
        <f t="shared" si="17"/>
        <v>0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'[11]Sch C'!D95</f>
        <v>846</v>
      </c>
      <c r="D97" s="273">
        <f>'[11]Sch C'!F95</f>
        <v>0</v>
      </c>
      <c r="E97" s="259">
        <f t="shared" si="14"/>
        <v>846</v>
      </c>
      <c r="F97" s="183">
        <v>800</v>
      </c>
      <c r="G97" s="183">
        <f t="shared" si="15"/>
        <v>1646</v>
      </c>
      <c r="H97" s="181">
        <f t="shared" si="16"/>
        <v>2.212510742808275E-3</v>
      </c>
      <c r="J97" s="136"/>
      <c r="K97" s="136"/>
      <c r="M97" s="237">
        <f t="shared" si="17"/>
        <v>0.40442260442260441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'[11]Sch C'!D96</f>
        <v>13719</v>
      </c>
      <c r="D98" s="273">
        <f>'[11]Sch C'!F96</f>
        <v>0</v>
      </c>
      <c r="E98" s="259">
        <f t="shared" si="14"/>
        <v>13719</v>
      </c>
      <c r="F98" s="183">
        <v>29568</v>
      </c>
      <c r="G98" s="183">
        <f t="shared" si="15"/>
        <v>43287</v>
      </c>
      <c r="H98" s="181">
        <f t="shared" si="16"/>
        <v>5.8185268848081291E-2</v>
      </c>
      <c r="J98" s="136"/>
      <c r="K98" s="136"/>
      <c r="M98" s="237">
        <f t="shared" si="17"/>
        <v>10.635626535626535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'[11]Sch C'!D97</f>
        <v>797</v>
      </c>
      <c r="D99" s="273">
        <f>'[11]Sch C'!F97</f>
        <v>0</v>
      </c>
      <c r="E99" s="259">
        <f t="shared" si="14"/>
        <v>797</v>
      </c>
      <c r="F99" s="183">
        <v>1738</v>
      </c>
      <c r="G99" s="183">
        <f t="shared" si="15"/>
        <v>2535</v>
      </c>
      <c r="H99" s="181">
        <f t="shared" si="16"/>
        <v>3.4074816117976776E-3</v>
      </c>
      <c r="J99" s="136"/>
      <c r="K99" s="136"/>
      <c r="M99" s="237">
        <f t="shared" si="17"/>
        <v>0.62285012285012287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'[11]Sch C'!D98</f>
        <v>0</v>
      </c>
      <c r="D100" s="273">
        <f>'[11]Sch C'!F98</f>
        <v>0</v>
      </c>
      <c r="E100" s="259">
        <f t="shared" si="14"/>
        <v>0</v>
      </c>
      <c r="F100" s="183">
        <v>0</v>
      </c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15362</v>
      </c>
      <c r="D101" s="273">
        <f>SUM(D95:D100)</f>
        <v>0</v>
      </c>
      <c r="E101" s="183">
        <f>SUM(E95:E100)</f>
        <v>15362</v>
      </c>
      <c r="F101" s="183">
        <f>SUM(F95:F100)</f>
        <v>32106</v>
      </c>
      <c r="G101" s="183">
        <f t="shared" si="15"/>
        <v>47468</v>
      </c>
      <c r="H101" s="181">
        <f t="shared" si="16"/>
        <v>6.3805261202687244E-2</v>
      </c>
      <c r="J101" s="136"/>
      <c r="K101" s="136"/>
      <c r="M101" s="237">
        <f t="shared" si="17"/>
        <v>11.662899262899263</v>
      </c>
      <c r="N101" s="243">
        <f>SUMMARY!M101</f>
        <v>14.116295917008408</v>
      </c>
      <c r="O101" s="238">
        <f>M101/N101-1</f>
        <v>-0.17379889657548919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'[11]Sch C'!D102</f>
        <v>0</v>
      </c>
      <c r="D104" s="273">
        <f>'[11]Sch C'!F102</f>
        <v>0</v>
      </c>
      <c r="E104" s="259">
        <f t="shared" ref="E104:E109" si="18">SUM(C104:D104)</f>
        <v>0</v>
      </c>
      <c r="F104" s="180">
        <v>0</v>
      </c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'[11]Sch C'!D103</f>
        <v>0</v>
      </c>
      <c r="D105" s="273">
        <f>'[11]Sch C'!F103</f>
        <v>0</v>
      </c>
      <c r="E105" s="259">
        <f t="shared" si="18"/>
        <v>0</v>
      </c>
      <c r="F105" s="183">
        <v>0</v>
      </c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'[11]Sch C'!D104</f>
        <v>0</v>
      </c>
      <c r="D106" s="273">
        <f>'[11]Sch C'!F104</f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'[11]Sch C'!D105</f>
        <v>0</v>
      </c>
      <c r="D107" s="273">
        <f>'[11]Sch C'!F105</f>
        <v>0</v>
      </c>
      <c r="E107" s="259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'[11]Sch C'!D106</f>
        <v>404</v>
      </c>
      <c r="D108" s="273">
        <f>'[11]Sch C'!F106</f>
        <v>0</v>
      </c>
      <c r="E108" s="259">
        <f t="shared" si="18"/>
        <v>404</v>
      </c>
      <c r="F108" s="183">
        <v>390</v>
      </c>
      <c r="G108" s="183">
        <f t="shared" si="19"/>
        <v>794</v>
      </c>
      <c r="H108" s="181">
        <f t="shared" si="20"/>
        <v>1.0672743194348544E-3</v>
      </c>
      <c r="J108" s="136"/>
      <c r="K108" s="136"/>
      <c r="M108" s="237">
        <f t="shared" si="21"/>
        <v>0.19508599508599508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'[11]Sch C'!D107</f>
        <v>0</v>
      </c>
      <c r="D109" s="273">
        <f>'[11]Sch C'!F107</f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404</v>
      </c>
      <c r="D110" s="273">
        <f>SUM(D104:D109)</f>
        <v>0</v>
      </c>
      <c r="E110" s="183">
        <f>SUM(E104:E109)</f>
        <v>404</v>
      </c>
      <c r="F110" s="183">
        <f>SUM(F104:F109)</f>
        <v>390</v>
      </c>
      <c r="G110" s="183">
        <f t="shared" si="19"/>
        <v>794</v>
      </c>
      <c r="H110" s="181">
        <f t="shared" si="20"/>
        <v>1.0672743194348544E-3</v>
      </c>
      <c r="J110" s="136"/>
      <c r="K110" s="136"/>
      <c r="M110" s="237">
        <f t="shared" si="21"/>
        <v>0.19508599508599508</v>
      </c>
      <c r="N110" s="243">
        <f>SUMMARY!M110</f>
        <v>2.6822243142585545</v>
      </c>
      <c r="O110" s="238">
        <f>M110/N110-1</f>
        <v>-0.92726708424462156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'[11]Sch C'!D121</f>
        <v>0</v>
      </c>
      <c r="D113" s="273">
        <f>'[11]Sch C'!F121</f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'[11]Sch C'!D122</f>
        <v>0</v>
      </c>
      <c r="D114" s="273">
        <f>'[11]Sch C'!F122</f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'[11]Sch C'!D123</f>
        <v>2847</v>
      </c>
      <c r="D115" s="273">
        <f>'[11]Sch C'!F123</f>
        <v>0</v>
      </c>
      <c r="E115" s="259">
        <f t="shared" si="22"/>
        <v>2847</v>
      </c>
      <c r="F115" s="183">
        <v>0</v>
      </c>
      <c r="G115" s="183">
        <f t="shared" si="23"/>
        <v>2847</v>
      </c>
      <c r="H115" s="181">
        <f t="shared" si="24"/>
        <v>3.82686396401893E-3</v>
      </c>
      <c r="J115" s="136"/>
      <c r="K115" s="136"/>
      <c r="M115" s="237">
        <f t="shared" si="25"/>
        <v>0.69950859950859956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'[11]Sch C'!D124</f>
        <v>0</v>
      </c>
      <c r="D116" s="273">
        <f>'[11]Sch C'!F124</f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'[11]Sch C'!D125</f>
        <v>0</v>
      </c>
      <c r="D117" s="273">
        <f>'[11]Sch C'!F125</f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2847</v>
      </c>
      <c r="D118" s="273">
        <f>SUM(D113:D117)</f>
        <v>0</v>
      </c>
      <c r="E118" s="183">
        <f>SUM(E113:E117)</f>
        <v>2847</v>
      </c>
      <c r="F118" s="183">
        <f>SUM(F113:F117)</f>
        <v>0</v>
      </c>
      <c r="G118" s="183">
        <f t="shared" si="23"/>
        <v>2847</v>
      </c>
      <c r="H118" s="181">
        <f t="shared" si="24"/>
        <v>3.82686396401893E-3</v>
      </c>
      <c r="J118" s="136"/>
      <c r="K118" s="136"/>
      <c r="M118" s="237">
        <f t="shared" si="25"/>
        <v>0.69950859950859956</v>
      </c>
      <c r="N118" s="243">
        <f>SUMMARY!M118</f>
        <v>3.1676887539780583</v>
      </c>
      <c r="O118" s="238">
        <f>M118/N118-1</f>
        <v>-0.77917382235545074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'[11]Sch C'!D129</f>
        <v>8586</v>
      </c>
      <c r="D121" s="273">
        <f>'[11]Sch C'!F129</f>
        <v>0</v>
      </c>
      <c r="E121" s="259">
        <f t="shared" ref="E121:E131" si="26">SUM(C121:D121)</f>
        <v>8586</v>
      </c>
      <c r="F121" s="180">
        <v>17062</v>
      </c>
      <c r="G121" s="180">
        <f>IF(ISERROR(E121+F121),"",(E121+F121))</f>
        <v>25648</v>
      </c>
      <c r="H121" s="181">
        <f>IF(ISERROR(G121/$G$183),"",(G121/$G$183))</f>
        <v>3.4475380031316304E-2</v>
      </c>
      <c r="J121" s="261">
        <f>340+632</f>
        <v>972</v>
      </c>
      <c r="K121" s="261">
        <f>360+680</f>
        <v>1040</v>
      </c>
      <c r="M121" s="237">
        <f t="shared" ref="M121:M131" si="27">IFERROR(G121/G$198,0)</f>
        <v>6.3017199017199017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'[11]Sch C'!D130</f>
        <v>0</v>
      </c>
      <c r="D122" s="273">
        <f>'[11]Sch C'!F130</f>
        <v>885</v>
      </c>
      <c r="E122" s="259">
        <f t="shared" si="26"/>
        <v>885</v>
      </c>
      <c r="F122" s="180">
        <v>1741</v>
      </c>
      <c r="G122" s="180">
        <f t="shared" ref="G122:G131" si="28">IF(ISERROR(E122+F122),"",(E122+F122))</f>
        <v>2626</v>
      </c>
      <c r="H122" s="181">
        <f t="shared" ref="H122:H131" si="29">IF(ISERROR(G122/$G$183),"",(G122/$G$183))</f>
        <v>3.5298014645288762E-3</v>
      </c>
      <c r="J122" s="136"/>
      <c r="K122" s="136"/>
      <c r="M122" s="237">
        <f t="shared" si="27"/>
        <v>0.64520884520884525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'[11]Sch C'!D131</f>
        <v>0</v>
      </c>
      <c r="D123" s="273">
        <f>'[11]Sch C'!F131</f>
        <v>0</v>
      </c>
      <c r="E123" s="259">
        <f t="shared" si="26"/>
        <v>0</v>
      </c>
      <c r="F123" s="180">
        <v>0</v>
      </c>
      <c r="G123" s="180">
        <f t="shared" si="28"/>
        <v>0</v>
      </c>
      <c r="H123" s="181">
        <f t="shared" si="29"/>
        <v>0</v>
      </c>
      <c r="J123" s="261">
        <v>0</v>
      </c>
      <c r="K123" s="261">
        <v>0</v>
      </c>
      <c r="M123" s="237">
        <f t="shared" si="27"/>
        <v>0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'[11]Sch C'!D132</f>
        <v>0</v>
      </c>
      <c r="D124" s="273">
        <f>'[11]Sch C'!F132</f>
        <v>0</v>
      </c>
      <c r="E124" s="259">
        <f t="shared" si="26"/>
        <v>0</v>
      </c>
      <c r="F124" s="180">
        <v>0</v>
      </c>
      <c r="G124" s="180">
        <f t="shared" si="28"/>
        <v>0</v>
      </c>
      <c r="H124" s="181">
        <f t="shared" si="29"/>
        <v>0</v>
      </c>
      <c r="J124" s="136"/>
      <c r="K124" s="136"/>
      <c r="M124" s="237">
        <f t="shared" si="27"/>
        <v>0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'[11]Sch C'!D133</f>
        <v>0</v>
      </c>
      <c r="D125" s="273">
        <f>'[11]Sch C'!F133</f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'[11]Sch C'!D134</f>
        <v>1666</v>
      </c>
      <c r="D126" s="273">
        <f>'[11]Sch C'!F134</f>
        <v>0</v>
      </c>
      <c r="E126" s="259">
        <f t="shared" si="26"/>
        <v>1666</v>
      </c>
      <c r="F126" s="180">
        <v>1258</v>
      </c>
      <c r="G126" s="180">
        <f t="shared" si="28"/>
        <v>2924</v>
      </c>
      <c r="H126" s="181">
        <f t="shared" si="29"/>
        <v>3.9303653778684057E-3</v>
      </c>
      <c r="J126" s="136"/>
      <c r="K126" s="136"/>
      <c r="M126" s="237">
        <f t="shared" si="27"/>
        <v>0.7184275184275184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'[11]Sch C'!D135</f>
        <v>0</v>
      </c>
      <c r="D127" s="273">
        <f>'[11]Sch C'!F135</f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'[11]Sch C'!D136</f>
        <v>0</v>
      </c>
      <c r="D128" s="273">
        <f>'[11]Sch C'!F136</f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'[11]Sch C'!D137</f>
        <v>1370</v>
      </c>
      <c r="D129" s="273">
        <f>'[11]Sch C'!F137</f>
        <v>0</v>
      </c>
      <c r="E129" s="259">
        <f t="shared" si="26"/>
        <v>1370</v>
      </c>
      <c r="F129" s="180">
        <v>8395</v>
      </c>
      <c r="G129" s="180">
        <f t="shared" si="28"/>
        <v>9765</v>
      </c>
      <c r="H129" s="181">
        <f t="shared" si="29"/>
        <v>1.3125861120001704E-2</v>
      </c>
      <c r="J129" s="136"/>
      <c r="K129" s="136"/>
      <c r="M129" s="237">
        <f t="shared" si="27"/>
        <v>2.3992628992628995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'[11]Sch C'!D138</f>
        <v>0</v>
      </c>
      <c r="D130" s="273">
        <f>'[11]Sch C'!F138</f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'[11]Sch C'!D139</f>
        <v>0</v>
      </c>
      <c r="D131" s="273">
        <f>'[11]Sch C'!F139</f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'[11]Sch C'!D141</f>
        <v>0</v>
      </c>
      <c r="D133" s="273">
        <f>'[11]Sch C'!F141</f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'[11]Sch C'!D142</f>
        <v>0</v>
      </c>
      <c r="D134" s="273">
        <f>'[11]Sch C'!F142</f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'[11]Sch C'!D143</f>
        <v>0</v>
      </c>
      <c r="D135" s="273">
        <f>'[11]Sch C'!F143</f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'[11]Sch C'!D144</f>
        <v>0</v>
      </c>
      <c r="D136" s="273">
        <f>'[11]Sch C'!F144</f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'[11]Sch C'!D145</f>
        <v>0</v>
      </c>
      <c r="D137" s="273">
        <f>'[11]Sch C'!F145</f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'[11]Sch C'!D146</f>
        <v>0</v>
      </c>
      <c r="D138" s="273">
        <f>'[11]Sch C'!F146</f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11622</v>
      </c>
      <c r="D139" s="273">
        <f>SUM(D121:D138)</f>
        <v>885</v>
      </c>
      <c r="E139" s="182">
        <f>SUM(E121:E138)</f>
        <v>12507</v>
      </c>
      <c r="F139" s="182">
        <f>SUM(F121:F138)</f>
        <v>28456</v>
      </c>
      <c r="G139" s="183">
        <f t="shared" si="33"/>
        <v>40963</v>
      </c>
      <c r="H139" s="181">
        <f t="shared" si="31"/>
        <v>5.506140799371529E-2</v>
      </c>
      <c r="J139" s="136"/>
      <c r="K139" s="136"/>
      <c r="M139" s="237">
        <f t="shared" si="32"/>
        <v>10.064619164619165</v>
      </c>
      <c r="N139" s="243">
        <f>SUMMARY!M139</f>
        <v>37.231450929246826</v>
      </c>
      <c r="O139" s="238">
        <f>M139/N139-1</f>
        <v>-0.72967426964515658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'[11]Sch C'!D150</f>
        <v>0</v>
      </c>
      <c r="D142" s="273">
        <f>'[11]Sch C'!F150</f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'[11]Sch C'!D151</f>
        <v>0</v>
      </c>
      <c r="D143" s="273">
        <f>'[11]Sch C'!F151</f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'[11]Sch C'!D152</f>
        <v>0</v>
      </c>
      <c r="D144" s="273">
        <f>'[11]Sch C'!F152</f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'[11]Sch C'!D153</f>
        <v>0</v>
      </c>
      <c r="D145" s="273">
        <f>'[11]Sch C'!F153</f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'[11]Sch C'!D154</f>
        <v>780</v>
      </c>
      <c r="D146" s="273">
        <f>'[11]Sch C'!F154</f>
        <v>0</v>
      </c>
      <c r="E146" s="259">
        <f t="shared" si="34"/>
        <v>780</v>
      </c>
      <c r="F146" s="183">
        <v>1817</v>
      </c>
      <c r="G146" s="183">
        <f t="shared" si="35"/>
        <v>2597</v>
      </c>
      <c r="H146" s="181">
        <f t="shared" si="36"/>
        <v>3.4908204125595932E-3</v>
      </c>
      <c r="J146" s="136"/>
      <c r="K146" s="136"/>
      <c r="M146" s="237">
        <f t="shared" si="37"/>
        <v>0.63808353808353813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780</v>
      </c>
      <c r="D147" s="273">
        <f>SUM(D142:D146)</f>
        <v>0</v>
      </c>
      <c r="E147" s="183">
        <f>SUM(E142:E146)</f>
        <v>780</v>
      </c>
      <c r="F147" s="183">
        <f>SUM(F142:F146)</f>
        <v>1817</v>
      </c>
      <c r="G147" s="183">
        <f t="shared" si="35"/>
        <v>2597</v>
      </c>
      <c r="H147" s="204">
        <f t="shared" si="36"/>
        <v>3.4908204125595932E-3</v>
      </c>
      <c r="J147" s="136"/>
      <c r="K147" s="136"/>
      <c r="M147" s="237">
        <f t="shared" si="37"/>
        <v>0.63808353808353813</v>
      </c>
      <c r="N147" s="243">
        <f>SUMMARY!M147</f>
        <v>3.5319826687546212</v>
      </c>
      <c r="O147" s="238">
        <f>M147/N147-1</f>
        <v>-0.8193412601572797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'[11]Sch C'!D158</f>
        <v>72579</v>
      </c>
      <c r="D150" s="273">
        <f>'[11]Sch C'!F158</f>
        <v>0</v>
      </c>
      <c r="E150" s="259">
        <f t="shared" ref="E150:E163" si="38">SUM(C150:D150)</f>
        <v>72579</v>
      </c>
      <c r="F150" s="183">
        <v>150076</v>
      </c>
      <c r="G150" s="183">
        <f>IF(ISERROR(E150+F150),"",(E150+F150))</f>
        <v>222655</v>
      </c>
      <c r="H150" s="181">
        <f>IF(ISERROR(G150/$G$183),"",(G150/$G$183))</f>
        <v>0.29928710780071477</v>
      </c>
      <c r="J150" s="261">
        <f>6067.85666666667+11555</f>
        <v>17622.85666666667</v>
      </c>
      <c r="K150" s="261">
        <f>6347.49333333333+12150</f>
        <v>18497.493333333332</v>
      </c>
      <c r="M150" s="237">
        <f t="shared" ref="M150:M164" si="39">IFERROR(G150/G$198,0)</f>
        <v>54.706388206388205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'[11]Sch C'!D159</f>
        <v>0</v>
      </c>
      <c r="D151" s="273">
        <f>'[11]Sch C'!F159</f>
        <v>7481</v>
      </c>
      <c r="E151" s="259">
        <f t="shared" si="38"/>
        <v>7481</v>
      </c>
      <c r="F151" s="183">
        <v>14087</v>
      </c>
      <c r="G151" s="183">
        <f>IF(ISERROR(E151+F151),"",(E151+F151))</f>
        <v>21568</v>
      </c>
      <c r="H151" s="181">
        <f>IF(ISERROR(G151/$G$183),"",(G151/$G$183))</f>
        <v>2.8991149271499924E-2</v>
      </c>
      <c r="J151" s="136"/>
      <c r="K151" s="136"/>
      <c r="M151" s="237">
        <f t="shared" si="39"/>
        <v>5.2992628992628994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'[11]Sch C'!D160</f>
        <v>0</v>
      </c>
      <c r="D152" s="273">
        <f>'[11]Sch C'!F160</f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'[11]Sch C'!D161</f>
        <v>0</v>
      </c>
      <c r="D153" s="273">
        <f>'[11]Sch C'!F161</f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'[11]Sch C'!D162</f>
        <v>0</v>
      </c>
      <c r="D154" s="273">
        <f>'[11]Sch C'!F162</f>
        <v>0</v>
      </c>
      <c r="E154" s="259">
        <f t="shared" si="38"/>
        <v>0</v>
      </c>
      <c r="F154" s="183">
        <v>300</v>
      </c>
      <c r="G154" s="183">
        <f t="shared" si="40"/>
        <v>300</v>
      </c>
      <c r="H154" s="181">
        <f t="shared" si="41"/>
        <v>4.0325226175120442E-4</v>
      </c>
      <c r="J154" s="206"/>
      <c r="K154" s="206"/>
      <c r="M154" s="237">
        <f t="shared" si="39"/>
        <v>7.3710073710073709E-2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'[11]Sch C'!D163</f>
        <v>0</v>
      </c>
      <c r="D155" s="273">
        <f>'[11]Sch C'!F163</f>
        <v>0</v>
      </c>
      <c r="E155" s="259">
        <f t="shared" si="38"/>
        <v>0</v>
      </c>
      <c r="F155" s="183">
        <v>150</v>
      </c>
      <c r="G155" s="183">
        <f t="shared" si="40"/>
        <v>150</v>
      </c>
      <c r="H155" s="181">
        <f t="shared" si="41"/>
        <v>2.0162613087560221E-4</v>
      </c>
      <c r="J155" s="206"/>
      <c r="K155" s="206"/>
      <c r="M155" s="237">
        <f t="shared" si="39"/>
        <v>3.6855036855036855E-2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'[11]Sch C'!D164</f>
        <v>0</v>
      </c>
      <c r="D156" s="273">
        <f>'[11]Sch C'!F164</f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'[11]Sch C'!D165</f>
        <v>0</v>
      </c>
      <c r="D157" s="273">
        <f>'[11]Sch C'!F165</f>
        <v>0</v>
      </c>
      <c r="E157" s="259">
        <f t="shared" si="38"/>
        <v>0</v>
      </c>
      <c r="F157" s="183">
        <v>75</v>
      </c>
      <c r="G157" s="183">
        <f t="shared" si="40"/>
        <v>75</v>
      </c>
      <c r="H157" s="181">
        <f t="shared" si="41"/>
        <v>1.008130654378011E-4</v>
      </c>
      <c r="J157" s="206"/>
      <c r="K157" s="206"/>
      <c r="M157" s="237">
        <f t="shared" si="39"/>
        <v>1.8427518427518427E-2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'[11]Sch C'!D166</f>
        <v>500</v>
      </c>
      <c r="D158" s="273">
        <f>'[11]Sch C'!F166</f>
        <v>0</v>
      </c>
      <c r="E158" s="259">
        <f t="shared" si="38"/>
        <v>500</v>
      </c>
      <c r="F158" s="183">
        <v>0</v>
      </c>
      <c r="G158" s="183">
        <f t="shared" si="40"/>
        <v>500</v>
      </c>
      <c r="H158" s="181">
        <f t="shared" si="41"/>
        <v>6.7208710291867405E-4</v>
      </c>
      <c r="J158" s="206"/>
      <c r="K158" s="206"/>
      <c r="M158" s="237">
        <f t="shared" si="39"/>
        <v>0.12285012285012285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'[11]Sch C'!D167</f>
        <v>0</v>
      </c>
      <c r="D159" s="273">
        <f>'[11]Sch C'!F167</f>
        <v>0</v>
      </c>
      <c r="E159" s="259">
        <f t="shared" si="38"/>
        <v>0</v>
      </c>
      <c r="F159" s="183">
        <v>0</v>
      </c>
      <c r="G159" s="183">
        <f t="shared" si="40"/>
        <v>0</v>
      </c>
      <c r="H159" s="181">
        <f t="shared" si="41"/>
        <v>0</v>
      </c>
      <c r="J159" s="206"/>
      <c r="K159" s="206"/>
      <c r="M159" s="237">
        <f t="shared" si="39"/>
        <v>0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'[11]Sch C'!D168</f>
        <v>40305</v>
      </c>
      <c r="D160" s="273">
        <f>'[11]Sch C'!F168</f>
        <v>0</v>
      </c>
      <c r="E160" s="259">
        <f t="shared" si="38"/>
        <v>40305</v>
      </c>
      <c r="F160" s="183">
        <v>60685</v>
      </c>
      <c r="G160" s="183">
        <f t="shared" si="40"/>
        <v>100990</v>
      </c>
      <c r="H160" s="181">
        <f t="shared" si="41"/>
        <v>0.13574815304751378</v>
      </c>
      <c r="J160" s="136"/>
      <c r="K160" s="136"/>
      <c r="M160" s="237">
        <f t="shared" si="39"/>
        <v>24.813267813267814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'[11]Sch C'!D169</f>
        <v>0</v>
      </c>
      <c r="D161" s="273">
        <f>'[11]Sch C'!F169</f>
        <v>0</v>
      </c>
      <c r="E161" s="259">
        <f t="shared" si="38"/>
        <v>0</v>
      </c>
      <c r="F161" s="183">
        <v>0</v>
      </c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'[11]Sch C'!D170</f>
        <v>593</v>
      </c>
      <c r="D162" s="273">
        <f>'[11]Sch C'!F170</f>
        <v>0</v>
      </c>
      <c r="E162" s="259">
        <f t="shared" si="38"/>
        <v>593</v>
      </c>
      <c r="F162" s="183">
        <v>1500</v>
      </c>
      <c r="G162" s="183">
        <f t="shared" si="40"/>
        <v>2093</v>
      </c>
      <c r="H162" s="181">
        <f t="shared" si="41"/>
        <v>2.8133566128175696E-3</v>
      </c>
      <c r="J162" s="136"/>
      <c r="K162" s="136"/>
      <c r="M162" s="237">
        <f t="shared" si="39"/>
        <v>0.51425061425061425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'[11]Sch C'!D171</f>
        <v>0</v>
      </c>
      <c r="D163" s="273">
        <f>'[11]Sch C'!F171</f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113977</v>
      </c>
      <c r="D164" s="273">
        <f>SUM(D150:D163)</f>
        <v>7481</v>
      </c>
      <c r="E164" s="183">
        <f>SUM(E150:E163)</f>
        <v>121458</v>
      </c>
      <c r="F164" s="183">
        <f>SUM(F150:F163)</f>
        <v>226873</v>
      </c>
      <c r="G164" s="183">
        <f>IF(ISERROR(E164+F164),"",(E164+F164))</f>
        <v>348331</v>
      </c>
      <c r="H164" s="181">
        <f>IF(ISERROR(G164/$G$183),"",(G164/$G$183))</f>
        <v>0.46821754529352932</v>
      </c>
      <c r="J164" s="136"/>
      <c r="K164" s="136"/>
      <c r="M164" s="237">
        <f t="shared" si="39"/>
        <v>85.585012285012283</v>
      </c>
      <c r="N164" s="243">
        <f>SUMMARY!M164</f>
        <v>48.166333206280392</v>
      </c>
      <c r="O164" s="238">
        <f>M164/N164-1</f>
        <v>0.77686376744686236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'[11]Sch C'!D186</f>
        <v>0</v>
      </c>
      <c r="D167" s="273">
        <f>'[11]Sch C'!F186</f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'[11]Sch C'!D187</f>
        <v>0</v>
      </c>
      <c r="D168" s="273">
        <f>'[11]Sch C'!F187</f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'[11]Sch C'!D188</f>
        <v>0</v>
      </c>
      <c r="D169" s="273">
        <f>'[11]Sch C'!F188</f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'[11]Sch C'!D189</f>
        <v>0</v>
      </c>
      <c r="D170" s="273">
        <f>'[11]Sch C'!F189</f>
        <v>0</v>
      </c>
      <c r="E170" s="259">
        <f t="shared" si="42"/>
        <v>0</v>
      </c>
      <c r="F170" s="183">
        <v>0</v>
      </c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37">
        <f t="shared" si="43"/>
        <v>0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'[11]Sch C'!D190</f>
        <v>0</v>
      </c>
      <c r="D171" s="273">
        <f>'[11]Sch C'!F190</f>
        <v>0</v>
      </c>
      <c r="E171" s="259">
        <f t="shared" si="42"/>
        <v>0</v>
      </c>
      <c r="F171" s="183">
        <v>0</v>
      </c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'[11]Sch C'!D191</f>
        <v>1380</v>
      </c>
      <c r="D172" s="273">
        <f>'[11]Sch C'!F191</f>
        <v>0</v>
      </c>
      <c r="E172" s="259">
        <f t="shared" si="42"/>
        <v>1380</v>
      </c>
      <c r="F172" s="183">
        <v>1300</v>
      </c>
      <c r="G172" s="183">
        <f t="shared" ref="G172:G181" si="44">IF(ISERROR(E172+F172),"",(E172+F172))</f>
        <v>2680</v>
      </c>
      <c r="H172" s="181">
        <f t="shared" ref="H172:H180" si="45">IF(ISERROR(G172/$G$183),"",(G172/$G$183))</f>
        <v>3.6023868716440928E-3</v>
      </c>
      <c r="I172" s="215"/>
      <c r="J172" s="211"/>
      <c r="K172" s="42"/>
      <c r="M172" s="237">
        <f t="shared" si="43"/>
        <v>0.65847665847665848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'[11]Sch C'!D192</f>
        <v>0</v>
      </c>
      <c r="D173" s="273">
        <f>'[11]Sch C'!F192</f>
        <v>0</v>
      </c>
      <c r="E173" s="259">
        <f t="shared" si="42"/>
        <v>0</v>
      </c>
      <c r="F173" s="183">
        <v>0</v>
      </c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'[11]Sch C'!D193</f>
        <v>0</v>
      </c>
      <c r="D174" s="273">
        <f>'[11]Sch C'!F193</f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'[11]Sch C'!D194</f>
        <v>0</v>
      </c>
      <c r="D175" s="273">
        <f>'[11]Sch C'!F194</f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'[11]Sch C'!D195</f>
        <v>0</v>
      </c>
      <c r="D176" s="273">
        <f>'[11]Sch C'!F195</f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'[11]Sch C'!D196</f>
        <v>0</v>
      </c>
      <c r="D177" s="273">
        <f>'[11]Sch C'!F196</f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'[11]Sch C'!D197</f>
        <v>309</v>
      </c>
      <c r="D178" s="273">
        <f>'[11]Sch C'!F197</f>
        <v>0</v>
      </c>
      <c r="E178" s="259">
        <f t="shared" si="42"/>
        <v>309</v>
      </c>
      <c r="F178" s="183">
        <v>292</v>
      </c>
      <c r="G178" s="183">
        <f t="shared" si="44"/>
        <v>601</v>
      </c>
      <c r="H178" s="181">
        <f t="shared" si="45"/>
        <v>8.0784869770824622E-4</v>
      </c>
      <c r="I178" s="215"/>
      <c r="J178" s="211"/>
      <c r="K178" s="42"/>
      <c r="M178" s="237">
        <f t="shared" si="43"/>
        <v>0.14766584766584767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'[11]Sch C'!D198</f>
        <v>0</v>
      </c>
      <c r="D179" s="273">
        <f>'[11]Sch C'!F198</f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'[11]Sch C'!D199</f>
        <v>0</v>
      </c>
      <c r="D180" s="273">
        <f>'[11]Sch C'!F199</f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1689</v>
      </c>
      <c r="D181" s="273">
        <f>SUM(D167:D180)</f>
        <v>0</v>
      </c>
      <c r="E181" s="218">
        <f>SUM(E167:E180)</f>
        <v>1689</v>
      </c>
      <c r="F181" s="218">
        <f>SUM(F167:F180)</f>
        <v>1592</v>
      </c>
      <c r="G181" s="183">
        <f t="shared" si="44"/>
        <v>3281</v>
      </c>
      <c r="H181" s="181">
        <f>IF(ISERROR(G181/$G$183),"",(G181/$G$183))</f>
        <v>4.4102355693523389E-3</v>
      </c>
      <c r="I181" s="219"/>
      <c r="J181" s="211"/>
      <c r="K181" s="211"/>
      <c r="M181" s="237">
        <f t="shared" si="43"/>
        <v>0.80614250614250615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278797</v>
      </c>
      <c r="D183" s="273">
        <f>SUM(D21:D181)/2</f>
        <v>-490.81000000000131</v>
      </c>
      <c r="E183" s="258">
        <f>SUM(E21:E181)/2</f>
        <v>278306.19</v>
      </c>
      <c r="F183" s="179">
        <f>SUM(F21:F181)/2</f>
        <v>465645</v>
      </c>
      <c r="G183" s="179">
        <f>SUM(G21:G181)/2</f>
        <v>743951.19</v>
      </c>
      <c r="H183" s="181">
        <f>IF(ISERROR(G183/$G$183),"",(G183/$G$183))</f>
        <v>1</v>
      </c>
      <c r="J183" s="261">
        <f>SUM(J21:J181)</f>
        <v>20198.85666666667</v>
      </c>
      <c r="K183" s="261">
        <f>SUM(K21:K181)</f>
        <v>21269.493333333332</v>
      </c>
      <c r="M183" s="237">
        <f>IFERROR(G183/G$198,0)</f>
        <v>182.78899017199015</v>
      </c>
      <c r="N183" s="243">
        <f>SUMMARY!M183</f>
        <v>169.52310231129192</v>
      </c>
      <c r="P183" s="178">
        <f>SUM(P57:P181)</f>
        <v>5.6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'[11]Sch C'!D204</f>
        <v>278797</v>
      </c>
      <c r="D186" s="28"/>
      <c r="E186" s="28"/>
      <c r="F186" s="322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323" t="s">
        <v>399</v>
      </c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23" t="s">
        <v>402</v>
      </c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-35827</v>
      </c>
      <c r="D190" s="273">
        <f>D17-D183</f>
        <v>1424.0800000000013</v>
      </c>
      <c r="E190" s="259">
        <f>E17-E183</f>
        <v>-34402.920000000013</v>
      </c>
      <c r="F190" s="180">
        <f>F17-F183</f>
        <v>21133</v>
      </c>
      <c r="G190" s="180">
        <f>G17-G183</f>
        <v>-13269.919999999925</v>
      </c>
      <c r="J190" s="136"/>
      <c r="K190" s="136"/>
      <c r="M190" s="237">
        <f>IFERROR(G190/G$198,0)</f>
        <v>-3.2604226044225859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'[11]Sch D'!C9</f>
        <v>1365</v>
      </c>
      <c r="D194" s="313"/>
      <c r="E194" s="264">
        <f>C194+D194</f>
        <v>1365</v>
      </c>
      <c r="F194" s="224">
        <v>2705</v>
      </c>
      <c r="G194" s="225">
        <f>E194+F194</f>
        <v>4070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'[11]Sch D'!D9</f>
        <v>0</v>
      </c>
      <c r="D195" s="313"/>
      <c r="E195" s="227">
        <f>C195+D195</f>
        <v>0</v>
      </c>
      <c r="F195" s="226">
        <v>0</v>
      </c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'[11]Sch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'[11]Sch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1365</v>
      </c>
      <c r="D198" s="313"/>
      <c r="E198" s="265">
        <f>SUM(E194:E197)</f>
        <v>1365</v>
      </c>
      <c r="F198" s="229">
        <f>SUM(F194:F197)</f>
        <v>2705</v>
      </c>
      <c r="G198" s="229">
        <f>SUM(G194:G197)</f>
        <v>4070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'[11]Sch D'!G22</f>
        <v>12</v>
      </c>
      <c r="D201" s="312"/>
      <c r="E201" s="264">
        <f>C201+D201</f>
        <v>12</v>
      </c>
      <c r="F201" s="224"/>
      <c r="G201" s="231">
        <f>E201+F201</f>
        <v>12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'[11]Sch D'!G24</f>
        <v>12</v>
      </c>
      <c r="D202" s="312"/>
      <c r="E202" s="264">
        <f>C202+D202</f>
        <v>12</v>
      </c>
      <c r="F202" s="226"/>
      <c r="G202" s="231">
        <f>E202+F202</f>
        <v>12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'[11]Sch D'!G28</f>
        <v>1476</v>
      </c>
      <c r="D205" s="283"/>
      <c r="E205" s="260">
        <f>E201*E203</f>
        <v>1476</v>
      </c>
      <c r="F205" s="260">
        <f>G201*F203</f>
        <v>2916</v>
      </c>
      <c r="G205" s="224">
        <f>G201*G203</f>
        <v>4392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'[11]Sch D'!G30</f>
        <v>0.92479674796747968</v>
      </c>
      <c r="D206" s="36"/>
      <c r="E206" s="266">
        <f>IFERROR(E198/E205,"0")</f>
        <v>0.92479674796747968</v>
      </c>
      <c r="F206" s="337">
        <f>IFERROR(F198/F205,"")</f>
        <v>0.92764060356652944</v>
      </c>
      <c r="G206" s="233">
        <f>G198/G205</f>
        <v>0.9266848816029144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'[11]Sch D'!G32</f>
        <v>0.92479674796747968</v>
      </c>
      <c r="D207" s="36"/>
      <c r="E207" s="266">
        <f>IFERROR((E194+E195)/E205,"0")</f>
        <v>0.92479674796747968</v>
      </c>
      <c r="F207" s="337">
        <f>IFERROR(((F194+F195)/F205),"")</f>
        <v>0.92764060356652944</v>
      </c>
      <c r="G207" s="233">
        <f>(G194+G195)/G205</f>
        <v>0.9266848816029144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'[11]Sch D'!G34</f>
        <v>1</v>
      </c>
      <c r="D208" s="36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15" priority="2" stopIfTrue="1" operator="equal">
      <formula>0</formula>
    </cfRule>
  </conditionalFormatting>
  <conditionalFormatting sqref="C2">
    <cfRule type="cellIs" dxfId="1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FF00"/>
    <pageSetUpPr fitToPage="1"/>
  </sheetPr>
  <dimension ref="A1:P213"/>
  <sheetViews>
    <sheetView showGridLines="0" zoomScaleNormal="100" workbookViewId="0">
      <pane xSplit="2" ySplit="11" topLeftCell="C201" activePane="bottomRight" state="frozen"/>
      <selection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403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404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28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0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90">
        <v>621872</v>
      </c>
      <c r="D12" s="290">
        <v>0</v>
      </c>
      <c r="E12" s="259">
        <f>SUM(C12:D12)</f>
        <v>621872</v>
      </c>
      <c r="F12" s="180">
        <v>1195725</v>
      </c>
      <c r="G12" s="180">
        <f>IF(ISERROR(E12+F12)," ",(E12+F12))</f>
        <v>1817597</v>
      </c>
      <c r="H12" s="181">
        <f t="shared" ref="H12:H17" si="0">IF(ISERROR(G12/$G$17),"",(G12/$G$17))</f>
        <v>0.99227074081971589</v>
      </c>
      <c r="J12" s="246" t="s">
        <v>346</v>
      </c>
      <c r="K12" s="247">
        <f>G17</f>
        <v>1831755.1099999999</v>
      </c>
      <c r="M12" s="237">
        <f>IFERROR(G12/G$194,0)</f>
        <v>177.18824332228505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90">
        <v>0</v>
      </c>
      <c r="D13" s="290"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2599084.2000000002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90">
        <v>0</v>
      </c>
      <c r="D14" s="290"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10258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90">
        <v>0</v>
      </c>
      <c r="D15" s="290"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35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90">
        <v>0</v>
      </c>
      <c r="D16" s="290">
        <v>2245.11</v>
      </c>
      <c r="E16" s="259">
        <f t="shared" si="1"/>
        <v>2245.11</v>
      </c>
      <c r="F16" s="183">
        <v>11913</v>
      </c>
      <c r="G16" s="183">
        <f>IF(ISERROR(E16+F16),"",(E16+F16))</f>
        <v>14158.11</v>
      </c>
      <c r="H16" s="184">
        <f t="shared" si="0"/>
        <v>7.7292591802842038E-3</v>
      </c>
      <c r="J16" s="248" t="s">
        <v>350</v>
      </c>
      <c r="K16" s="249">
        <f>G205</f>
        <v>12810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90">
        <v>621872</v>
      </c>
      <c r="D17" s="290">
        <v>2245.11</v>
      </c>
      <c r="E17" s="183">
        <f>SUM(E12:E16)</f>
        <v>624117.11</v>
      </c>
      <c r="F17" s="183">
        <f>SUM(F12:F16)</f>
        <v>1207638</v>
      </c>
      <c r="G17" s="183">
        <f>IF(ISERROR(E17+F17),"",(E17+F17))</f>
        <v>1831755.1099999999</v>
      </c>
      <c r="H17" s="184">
        <f t="shared" si="0"/>
        <v>1</v>
      </c>
      <c r="J17" s="248"/>
      <c r="K17" s="249"/>
      <c r="M17" s="237">
        <f>IFERROR(G17/G$198,0)</f>
        <v>178.56844511600701</v>
      </c>
      <c r="N17" s="241">
        <f>SUMMARY!M17</f>
        <v>177.04679867926177</v>
      </c>
    </row>
    <row r="18" spans="1:14" s="43" customFormat="1">
      <c r="A18" s="42"/>
      <c r="B18" s="185"/>
      <c r="C18" s="291"/>
      <c r="D18" s="291"/>
      <c r="E18" s="28"/>
      <c r="F18" s="28"/>
      <c r="G18" s="28"/>
      <c r="H18" s="186"/>
      <c r="J18" s="248" t="s">
        <v>188</v>
      </c>
      <c r="K18" s="249">
        <f>J183</f>
        <v>99891.416666666628</v>
      </c>
    </row>
    <row r="19" spans="1:14">
      <c r="A19" s="31" t="s">
        <v>336</v>
      </c>
      <c r="B19" s="187" t="s">
        <v>157</v>
      </c>
      <c r="C19" s="292"/>
      <c r="D19" s="293"/>
      <c r="F19" s="328" t="s">
        <v>393</v>
      </c>
      <c r="G19" s="25"/>
      <c r="J19" s="250" t="s">
        <v>309</v>
      </c>
      <c r="K19" s="251">
        <f>K183</f>
        <v>105660.41666666664</v>
      </c>
    </row>
    <row r="20" spans="1:14">
      <c r="A20" s="188" t="s">
        <v>197</v>
      </c>
      <c r="B20" s="164" t="s">
        <v>19</v>
      </c>
      <c r="C20" s="294"/>
      <c r="D20" s="294"/>
      <c r="F20" s="320" t="s">
        <v>394</v>
      </c>
    </row>
    <row r="21" spans="1:14" s="43" customFormat="1">
      <c r="A21" s="130" t="s">
        <v>198</v>
      </c>
      <c r="B21" s="116" t="s">
        <v>20</v>
      </c>
      <c r="C21" s="290">
        <v>21020</v>
      </c>
      <c r="D21" s="290">
        <v>0</v>
      </c>
      <c r="E21" s="259">
        <f t="shared" ref="E21:E56" si="2">SUM(C21:D21)</f>
        <v>21020</v>
      </c>
      <c r="F21" s="180">
        <v>44747</v>
      </c>
      <c r="G21" s="180">
        <f t="shared" ref="G21:G57" si="3">IF(ISERROR(E21+F21),"",(E21+F21))</f>
        <v>65767</v>
      </c>
      <c r="H21" s="181">
        <f>IF(ISERROR(G21/$G$183),"",(G21/$G$183))</f>
        <v>2.5303912816675964E-2</v>
      </c>
      <c r="J21" s="261">
        <f>625.333333333333+1161</f>
        <v>1786.333333333333</v>
      </c>
      <c r="K21" s="261">
        <f>720+1297</f>
        <v>2017</v>
      </c>
      <c r="M21" s="237">
        <f>IFERROR(G21/G$198,0)</f>
        <v>6.4112887502437124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90">
        <v>0</v>
      </c>
      <c r="D22" s="290"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90">
        <v>9439</v>
      </c>
      <c r="D23" s="290">
        <v>0</v>
      </c>
      <c r="E23" s="259">
        <f t="shared" si="2"/>
        <v>9439</v>
      </c>
      <c r="F23" s="183">
        <v>25002</v>
      </c>
      <c r="G23" s="183">
        <f t="shared" si="3"/>
        <v>34441</v>
      </c>
      <c r="H23" s="181">
        <f t="shared" si="4"/>
        <v>1.3251205944001351E-2</v>
      </c>
      <c r="J23" s="189">
        <f>634.666666666667+1428</f>
        <v>2062.666666666667</v>
      </c>
      <c r="K23" s="189">
        <f>698.453333333333+1600</f>
        <v>2298.4533333333329</v>
      </c>
      <c r="M23" s="237">
        <f t="shared" si="5"/>
        <v>3.3574770910508871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90">
        <v>44738</v>
      </c>
      <c r="D24" s="290">
        <v>-41702</v>
      </c>
      <c r="E24" s="259">
        <f t="shared" si="2"/>
        <v>3036</v>
      </c>
      <c r="F24" s="183">
        <v>8975</v>
      </c>
      <c r="G24" s="183">
        <f t="shared" si="3"/>
        <v>12011</v>
      </c>
      <c r="H24" s="181">
        <f t="shared" si="4"/>
        <v>4.6212431286373869E-3</v>
      </c>
      <c r="J24" s="136"/>
      <c r="K24" s="136"/>
      <c r="M24" s="237">
        <f t="shared" si="5"/>
        <v>1.1708910118931566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90">
        <v>0</v>
      </c>
      <c r="D25" s="290"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90">
        <v>41604</v>
      </c>
      <c r="D26" s="290">
        <v>0</v>
      </c>
      <c r="E26" s="259">
        <f t="shared" si="2"/>
        <v>41604</v>
      </c>
      <c r="F26" s="183">
        <v>85210</v>
      </c>
      <c r="G26" s="183">
        <f t="shared" si="3"/>
        <v>126814</v>
      </c>
      <c r="H26" s="181">
        <f t="shared" si="4"/>
        <v>4.8791801358339985E-2</v>
      </c>
      <c r="J26" s="136"/>
      <c r="K26" s="136"/>
      <c r="M26" s="237">
        <f t="shared" si="5"/>
        <v>12.362448820432833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90">
        <v>191459</v>
      </c>
      <c r="D27" s="290">
        <v>3952.77</v>
      </c>
      <c r="E27" s="259">
        <f t="shared" si="2"/>
        <v>195411.77</v>
      </c>
      <c r="F27" s="183">
        <v>101921</v>
      </c>
      <c r="G27" s="183">
        <f t="shared" si="3"/>
        <v>297332.77</v>
      </c>
      <c r="H27" s="181">
        <f t="shared" si="4"/>
        <v>0.11439905255858968</v>
      </c>
      <c r="J27" s="136"/>
      <c r="K27" s="136"/>
      <c r="M27" s="237">
        <f t="shared" si="5"/>
        <v>28.985452329888869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90">
        <v>0</v>
      </c>
      <c r="D28" s="290">
        <v>0</v>
      </c>
      <c r="E28" s="259">
        <f t="shared" si="2"/>
        <v>0</v>
      </c>
      <c r="F28" s="183">
        <v>778</v>
      </c>
      <c r="G28" s="183">
        <f t="shared" si="3"/>
        <v>778</v>
      </c>
      <c r="H28" s="181">
        <f t="shared" si="4"/>
        <v>2.9933620465239256E-4</v>
      </c>
      <c r="J28" s="136"/>
      <c r="K28" s="136"/>
      <c r="M28" s="237">
        <f t="shared" si="5"/>
        <v>7.5843244297133947E-2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90">
        <v>3402</v>
      </c>
      <c r="D29" s="290">
        <v>0</v>
      </c>
      <c r="E29" s="259">
        <f t="shared" si="2"/>
        <v>3402</v>
      </c>
      <c r="F29" s="183">
        <v>5813</v>
      </c>
      <c r="G29" s="183">
        <f t="shared" si="3"/>
        <v>9215</v>
      </c>
      <c r="H29" s="181">
        <f t="shared" si="4"/>
        <v>3.5454795962362434E-3</v>
      </c>
      <c r="J29" s="136"/>
      <c r="K29" s="136"/>
      <c r="M29" s="237">
        <f t="shared" si="5"/>
        <v>0.89832325989471629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90">
        <v>1206</v>
      </c>
      <c r="D30" s="290">
        <v>0</v>
      </c>
      <c r="E30" s="259">
        <f t="shared" si="2"/>
        <v>1206</v>
      </c>
      <c r="F30" s="183">
        <v>7156</v>
      </c>
      <c r="G30" s="183">
        <f t="shared" si="3"/>
        <v>8362</v>
      </c>
      <c r="H30" s="181">
        <f t="shared" si="4"/>
        <v>3.2172870736546354E-3</v>
      </c>
      <c r="J30" s="136"/>
      <c r="K30" s="136"/>
      <c r="M30" s="237">
        <f t="shared" si="5"/>
        <v>0.81516864885942675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90">
        <v>5963</v>
      </c>
      <c r="D31" s="290">
        <v>-1636.68</v>
      </c>
      <c r="E31" s="259">
        <f t="shared" si="2"/>
        <v>4326.32</v>
      </c>
      <c r="F31" s="183">
        <v>996</v>
      </c>
      <c r="G31" s="183">
        <f t="shared" si="3"/>
        <v>5322.32</v>
      </c>
      <c r="H31" s="181">
        <f t="shared" si="4"/>
        <v>2.0477674405469434E-3</v>
      </c>
      <c r="J31" s="136"/>
      <c r="K31" s="136"/>
      <c r="M31" s="237">
        <f t="shared" si="5"/>
        <v>0.51884577890426986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90">
        <v>0</v>
      </c>
      <c r="D32" s="290"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90">
        <v>0</v>
      </c>
      <c r="D33" s="290"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90">
        <v>2350</v>
      </c>
      <c r="D34" s="290">
        <v>0</v>
      </c>
      <c r="E34" s="259">
        <f t="shared" si="2"/>
        <v>2350</v>
      </c>
      <c r="F34" s="330">
        <f>(4754-200)</f>
        <v>4554</v>
      </c>
      <c r="G34" s="183">
        <f t="shared" si="3"/>
        <v>6904</v>
      </c>
      <c r="H34" s="181">
        <f t="shared" si="4"/>
        <v>2.6563202531106915E-3</v>
      </c>
      <c r="J34" s="136"/>
      <c r="K34" s="136"/>
      <c r="M34" s="237">
        <f t="shared" si="5"/>
        <v>0.67303567946968224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90">
        <v>0</v>
      </c>
      <c r="D35" s="290"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90">
        <v>1572</v>
      </c>
      <c r="D36" s="290">
        <v>-323.99</v>
      </c>
      <c r="E36" s="259">
        <f t="shared" si="2"/>
        <v>1248.01</v>
      </c>
      <c r="F36" s="183">
        <v>0</v>
      </c>
      <c r="G36" s="183">
        <f t="shared" si="3"/>
        <v>1248.01</v>
      </c>
      <c r="H36" s="181">
        <f t="shared" si="4"/>
        <v>4.8017297785119846E-4</v>
      </c>
      <c r="J36" s="136"/>
      <c r="K36" s="136"/>
      <c r="M36" s="237">
        <f t="shared" si="5"/>
        <v>0.12166211737180736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90">
        <v>29779</v>
      </c>
      <c r="D37" s="290">
        <v>0</v>
      </c>
      <c r="E37" s="259">
        <f t="shared" si="2"/>
        <v>29779</v>
      </c>
      <c r="F37" s="183">
        <v>57003</v>
      </c>
      <c r="G37" s="183">
        <f t="shared" si="3"/>
        <v>86782</v>
      </c>
      <c r="H37" s="181">
        <f t="shared" si="4"/>
        <v>3.3389453100442071E-2</v>
      </c>
      <c r="J37" s="136"/>
      <c r="K37" s="136"/>
      <c r="M37" s="237">
        <f t="shared" si="5"/>
        <v>8.4599337102749068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90">
        <v>0</v>
      </c>
      <c r="D38" s="290"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90">
        <v>0</v>
      </c>
      <c r="D39" s="290"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90">
        <v>0</v>
      </c>
      <c r="D40" s="290"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90">
        <v>0</v>
      </c>
      <c r="D41" s="290"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90">
        <v>11406</v>
      </c>
      <c r="D42" s="290">
        <v>0</v>
      </c>
      <c r="E42" s="259">
        <f t="shared" si="2"/>
        <v>11406</v>
      </c>
      <c r="F42" s="183">
        <v>19067</v>
      </c>
      <c r="G42" s="183">
        <f t="shared" si="3"/>
        <v>30473</v>
      </c>
      <c r="H42" s="181">
        <f t="shared" si="4"/>
        <v>1.1724514350093005E-2</v>
      </c>
      <c r="J42" s="136"/>
      <c r="K42" s="136"/>
      <c r="M42" s="237">
        <f t="shared" si="5"/>
        <v>2.9706570481575354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90">
        <v>0</v>
      </c>
      <c r="D43" s="290">
        <v>0</v>
      </c>
      <c r="E43" s="259">
        <f t="shared" si="2"/>
        <v>0</v>
      </c>
      <c r="F43" s="183">
        <v>4836</v>
      </c>
      <c r="G43" s="183">
        <f t="shared" si="3"/>
        <v>4836</v>
      </c>
      <c r="H43" s="181">
        <f t="shared" si="4"/>
        <v>1.8606553800757973E-3</v>
      </c>
      <c r="J43" s="136"/>
      <c r="K43" s="136"/>
      <c r="M43" s="237">
        <f t="shared" si="5"/>
        <v>0.47143692727627218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90">
        <v>0</v>
      </c>
      <c r="D44" s="290"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90">
        <v>0</v>
      </c>
      <c r="D45" s="290"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90">
        <v>0</v>
      </c>
      <c r="D46" s="290"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90">
        <v>0</v>
      </c>
      <c r="D47" s="290"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90">
        <v>0</v>
      </c>
      <c r="D48" s="290"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90">
        <v>0</v>
      </c>
      <c r="D49" s="290"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90">
        <v>157</v>
      </c>
      <c r="D50" s="290">
        <v>0</v>
      </c>
      <c r="E50" s="259">
        <f t="shared" si="2"/>
        <v>157</v>
      </c>
      <c r="F50" s="330">
        <v>200</v>
      </c>
      <c r="G50" s="183">
        <f t="shared" si="3"/>
        <v>357</v>
      </c>
      <c r="H50" s="181">
        <f t="shared" si="4"/>
        <v>1.3735607334306444E-4</v>
      </c>
      <c r="J50" s="136"/>
      <c r="K50" s="136"/>
      <c r="M50" s="237">
        <f t="shared" si="5"/>
        <v>3.480210567362059E-2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90">
        <v>0</v>
      </c>
      <c r="D51" s="290"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90">
        <v>3799</v>
      </c>
      <c r="D52" s="290">
        <v>0</v>
      </c>
      <c r="E52" s="259">
        <f t="shared" si="2"/>
        <v>3799</v>
      </c>
      <c r="F52" s="183">
        <v>7329</v>
      </c>
      <c r="G52" s="183">
        <f t="shared" si="3"/>
        <v>11128</v>
      </c>
      <c r="H52" s="181">
        <f t="shared" si="4"/>
        <v>4.2815080788840927E-3</v>
      </c>
      <c r="J52" s="136"/>
      <c r="K52" s="136"/>
      <c r="M52" s="237">
        <f t="shared" si="5"/>
        <v>1.0848118541626048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90">
        <v>0</v>
      </c>
      <c r="D53" s="290"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90">
        <v>1306</v>
      </c>
      <c r="D54" s="290">
        <v>0</v>
      </c>
      <c r="E54" s="259">
        <f t="shared" si="2"/>
        <v>1306</v>
      </c>
      <c r="F54" s="183">
        <v>2940</v>
      </c>
      <c r="G54" s="183">
        <f t="shared" si="3"/>
        <v>4246</v>
      </c>
      <c r="H54" s="181">
        <f t="shared" si="4"/>
        <v>1.6336523456993042E-3</v>
      </c>
      <c r="J54" s="136"/>
      <c r="K54" s="136"/>
      <c r="M54" s="237">
        <f t="shared" si="5"/>
        <v>0.41392084226944825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90">
        <v>0</v>
      </c>
      <c r="D55" s="290"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90">
        <v>0</v>
      </c>
      <c r="D56" s="290"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90">
        <v>369200</v>
      </c>
      <c r="D57" s="290">
        <v>-39709.9</v>
      </c>
      <c r="E57" s="183">
        <f>SUM(E21:E56)</f>
        <v>329490.10000000003</v>
      </c>
      <c r="F57" s="183">
        <f>SUM(F21:F56)</f>
        <v>376527</v>
      </c>
      <c r="G57" s="183">
        <f t="shared" si="3"/>
        <v>706017.10000000009</v>
      </c>
      <c r="H57" s="181">
        <f t="shared" si="4"/>
        <v>0.27164071868083384</v>
      </c>
      <c r="J57" s="136"/>
      <c r="K57" s="136"/>
      <c r="M57" s="237">
        <f t="shared" si="5"/>
        <v>68.825999220120892</v>
      </c>
      <c r="N57" s="243">
        <f>SUMMARY!M57</f>
        <v>39.672950949912064</v>
      </c>
      <c r="O57" s="238">
        <f>M57/N57-1</f>
        <v>0.73483437889495962</v>
      </c>
      <c r="P57" s="178">
        <f>IF(O57&gt;=0.2,2.1,0)</f>
        <v>2.1</v>
      </c>
    </row>
    <row r="58" spans="1:16" s="43" customFormat="1">
      <c r="A58" s="42"/>
      <c r="C58" s="291"/>
      <c r="D58" s="291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91"/>
      <c r="D59" s="291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90">
        <v>0</v>
      </c>
      <c r="D60" s="290">
        <v>0</v>
      </c>
      <c r="E60" s="259">
        <f t="shared" ref="E60:E76" si="6">SUM(C60:D60)</f>
        <v>0</v>
      </c>
      <c r="F60" s="179">
        <v>37695</v>
      </c>
      <c r="G60" s="179">
        <f>IF(ISERROR(E60+F60),"",(E60+F60))</f>
        <v>37695</v>
      </c>
      <c r="H60" s="181">
        <f>IF(ISERROR(G60/$G$183),"",(G60/$G$183))</f>
        <v>1.4503185391223569E-2</v>
      </c>
      <c r="J60" s="136"/>
      <c r="K60" s="136"/>
      <c r="M60" s="237">
        <f>IFERROR(G60/G$198,0)</f>
        <v>3.6746929225969973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90">
        <v>8709</v>
      </c>
      <c r="D61" s="290">
        <v>0</v>
      </c>
      <c r="E61" s="259">
        <f t="shared" si="6"/>
        <v>8709</v>
      </c>
      <c r="F61" s="179">
        <v>0</v>
      </c>
      <c r="G61" s="179">
        <f t="shared" ref="G61:G76" si="7">IF(ISERROR(E61+F61),"",(E61+F61))</f>
        <v>8709</v>
      </c>
      <c r="H61" s="181">
        <f t="shared" ref="H61:H76" si="8">IF(ISERROR(G61/$G$183),"",(G61/$G$183))</f>
        <v>3.3507956379404714E-3</v>
      </c>
      <c r="J61" s="136"/>
      <c r="K61" s="136"/>
      <c r="M61" s="237">
        <f t="shared" ref="M61:M77" si="9">IFERROR(G61/G$198,0)</f>
        <v>0.84899590563462668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90">
        <v>25028</v>
      </c>
      <c r="D62" s="290">
        <v>-2141.9</v>
      </c>
      <c r="E62" s="259">
        <f t="shared" si="6"/>
        <v>22886.1</v>
      </c>
      <c r="F62" s="179">
        <v>358</v>
      </c>
      <c r="G62" s="179">
        <f t="shared" si="7"/>
        <v>23244.1</v>
      </c>
      <c r="H62" s="181">
        <f t="shared" si="8"/>
        <v>8.9431885277129527E-3</v>
      </c>
      <c r="J62" s="136"/>
      <c r="K62" s="136"/>
      <c r="M62" s="237">
        <f t="shared" si="9"/>
        <v>2.2659485279781633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90">
        <v>0</v>
      </c>
      <c r="D63" s="290">
        <v>0</v>
      </c>
      <c r="E63" s="259">
        <f t="shared" si="6"/>
        <v>0</v>
      </c>
      <c r="F63" s="179">
        <v>0</v>
      </c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90">
        <v>2117</v>
      </c>
      <c r="D64" s="290">
        <v>0</v>
      </c>
      <c r="E64" s="259">
        <f t="shared" si="6"/>
        <v>2117</v>
      </c>
      <c r="F64" s="179">
        <v>4632</v>
      </c>
      <c r="G64" s="179">
        <f t="shared" si="7"/>
        <v>6749</v>
      </c>
      <c r="H64" s="181">
        <f t="shared" si="8"/>
        <v>2.5966838627236467E-3</v>
      </c>
      <c r="J64" s="136"/>
      <c r="K64" s="136"/>
      <c r="M64" s="237">
        <f t="shared" si="9"/>
        <v>0.65792552154416062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90">
        <v>0</v>
      </c>
      <c r="D65" s="290"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90">
        <v>0</v>
      </c>
      <c r="D66" s="290"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90">
        <v>4154</v>
      </c>
      <c r="D67" s="290">
        <v>0</v>
      </c>
      <c r="E67" s="259">
        <f t="shared" si="6"/>
        <v>4154</v>
      </c>
      <c r="F67" s="179">
        <v>0</v>
      </c>
      <c r="G67" s="179">
        <f t="shared" si="7"/>
        <v>4154</v>
      </c>
      <c r="H67" s="181">
        <f t="shared" si="8"/>
        <v>1.5982552623728002E-3</v>
      </c>
      <c r="J67" s="136"/>
      <c r="K67" s="136"/>
      <c r="M67" s="237">
        <f t="shared" si="9"/>
        <v>0.40495223240397737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90">
        <v>154</v>
      </c>
      <c r="D68" s="290">
        <v>0</v>
      </c>
      <c r="E68" s="259">
        <f t="shared" si="6"/>
        <v>154</v>
      </c>
      <c r="F68" s="179">
        <v>0</v>
      </c>
      <c r="G68" s="179">
        <f t="shared" si="7"/>
        <v>154</v>
      </c>
      <c r="H68" s="181">
        <f t="shared" si="8"/>
        <v>5.9251639481321919E-5</v>
      </c>
      <c r="J68" s="136"/>
      <c r="K68" s="136"/>
      <c r="M68" s="237">
        <f t="shared" si="9"/>
        <v>1.501267303567947E-2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90">
        <v>0</v>
      </c>
      <c r="D69" s="290"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90">
        <v>2456</v>
      </c>
      <c r="D70" s="290">
        <v>0</v>
      </c>
      <c r="E70" s="259">
        <f t="shared" si="6"/>
        <v>2456</v>
      </c>
      <c r="F70" s="179">
        <v>3312</v>
      </c>
      <c r="G70" s="179">
        <f t="shared" si="7"/>
        <v>5768</v>
      </c>
      <c r="H70" s="181">
        <f t="shared" si="8"/>
        <v>2.2192432242095117E-3</v>
      </c>
      <c r="J70" s="136"/>
      <c r="K70" s="136"/>
      <c r="M70" s="237">
        <f t="shared" si="9"/>
        <v>0.56229284460908557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90">
        <v>0</v>
      </c>
      <c r="D71" s="290">
        <v>0</v>
      </c>
      <c r="E71" s="259">
        <f t="shared" si="6"/>
        <v>0</v>
      </c>
      <c r="F71" s="332">
        <v>1637</v>
      </c>
      <c r="G71" s="179">
        <f t="shared" si="7"/>
        <v>1637</v>
      </c>
      <c r="H71" s="181">
        <f t="shared" si="8"/>
        <v>6.2983723266833757E-4</v>
      </c>
      <c r="J71" s="136"/>
      <c r="K71" s="136"/>
      <c r="M71" s="237">
        <f t="shared" si="9"/>
        <v>0.15958276467147592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90">
        <v>506</v>
      </c>
      <c r="D72" s="290">
        <v>0</v>
      </c>
      <c r="E72" s="259">
        <f t="shared" si="6"/>
        <v>506</v>
      </c>
      <c r="F72" s="332">
        <v>32</v>
      </c>
      <c r="G72" s="179">
        <f t="shared" si="7"/>
        <v>538</v>
      </c>
      <c r="H72" s="181">
        <f t="shared" si="8"/>
        <v>2.0699598727890383E-4</v>
      </c>
      <c r="J72" s="136"/>
      <c r="K72" s="136"/>
      <c r="M72" s="237">
        <f t="shared" si="9"/>
        <v>5.2446870735036066E-2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90">
        <v>0</v>
      </c>
      <c r="D73" s="290"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90">
        <v>0</v>
      </c>
      <c r="D74" s="290"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90">
        <v>0</v>
      </c>
      <c r="D75" s="290"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90">
        <v>0</v>
      </c>
      <c r="D76" s="290"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90">
        <v>43124</v>
      </c>
      <c r="D77" s="290">
        <v>-2141.9</v>
      </c>
      <c r="E77" s="182">
        <f>SUM(E60:E76)</f>
        <v>40982.1</v>
      </c>
      <c r="F77" s="182">
        <f>SUM(F60:F76)</f>
        <v>47666</v>
      </c>
      <c r="G77" s="183">
        <f>IF(ISERROR(E77+F77),"",(E77+F77))</f>
        <v>88648.1</v>
      </c>
      <c r="H77" s="181">
        <f>IF(ISERROR(G77/$G$183),"",(G77/$G$183))</f>
        <v>3.4107436765611517E-2</v>
      </c>
      <c r="J77" s="136"/>
      <c r="K77" s="136"/>
      <c r="M77" s="237">
        <f t="shared" si="9"/>
        <v>8.6418502632092036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91"/>
      <c r="D78" s="291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91"/>
      <c r="D79" s="291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90">
        <v>11192</v>
      </c>
      <c r="D80" s="290">
        <v>0</v>
      </c>
      <c r="E80" s="259">
        <f t="shared" ref="E80:E91" si="10">SUM(C80:D80)</f>
        <v>11192</v>
      </c>
      <c r="F80" s="180">
        <v>25083</v>
      </c>
      <c r="G80" s="180">
        <f>IF(ISERROR(E80+F80),"",(E80+F80))</f>
        <v>36275</v>
      </c>
      <c r="H80" s="181">
        <f t="shared" ref="H80:H92" si="11">IF(ISERROR(G80/$G$183),"",(G80/$G$183))</f>
        <v>1.3956839105097095E-2</v>
      </c>
      <c r="J80" s="261">
        <f>688+1556</f>
        <v>2244</v>
      </c>
      <c r="K80" s="261">
        <f>720+1640</f>
        <v>2360</v>
      </c>
      <c r="M80" s="237">
        <f t="shared" ref="M80:M92" si="12">IFERROR(G80/G$198,0)</f>
        <v>3.5362643790212518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90">
        <v>0</v>
      </c>
      <c r="D81" s="290">
        <v>1116</v>
      </c>
      <c r="E81" s="259">
        <f t="shared" si="10"/>
        <v>1116</v>
      </c>
      <c r="F81" s="183">
        <v>2637</v>
      </c>
      <c r="G81" s="183">
        <f>IF(ISERROR(E81+F81),"",(E81+F81))</f>
        <v>3753</v>
      </c>
      <c r="H81" s="181">
        <f t="shared" si="11"/>
        <v>1.4439701491779295E-3</v>
      </c>
      <c r="J81" s="136"/>
      <c r="K81" s="136"/>
      <c r="M81" s="237">
        <f t="shared" si="12"/>
        <v>0.3658607915773055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90">
        <v>0</v>
      </c>
      <c r="D82" s="290">
        <v>0</v>
      </c>
      <c r="E82" s="259">
        <f t="shared" si="10"/>
        <v>0</v>
      </c>
      <c r="F82" s="183">
        <v>166</v>
      </c>
      <c r="G82" s="183">
        <f>IF(ISERROR(E82+F82),"",(E82+F82))</f>
        <v>166</v>
      </c>
      <c r="H82" s="181">
        <f t="shared" si="11"/>
        <v>6.3868650349996355E-5</v>
      </c>
      <c r="J82" s="136"/>
      <c r="K82" s="136"/>
      <c r="M82" s="237">
        <f t="shared" si="12"/>
        <v>1.6182491713784362E-2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90">
        <v>499</v>
      </c>
      <c r="D83" s="290">
        <v>0</v>
      </c>
      <c r="E83" s="259">
        <f t="shared" si="10"/>
        <v>499</v>
      </c>
      <c r="F83" s="330">
        <f>(12278-1448)</f>
        <v>10830</v>
      </c>
      <c r="G83" s="183">
        <f>IF(ISERROR(E83+F83),"",(E83+F83))</f>
        <v>11329</v>
      </c>
      <c r="H83" s="181">
        <f t="shared" si="11"/>
        <v>4.3588430109343899E-3</v>
      </c>
      <c r="J83" s="136"/>
      <c r="K83" s="136"/>
      <c r="M83" s="237">
        <f t="shared" si="12"/>
        <v>1.1044063170208618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90">
        <v>0</v>
      </c>
      <c r="D84" s="290">
        <v>0</v>
      </c>
      <c r="E84" s="259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90">
        <v>1917</v>
      </c>
      <c r="D85" s="290">
        <v>0</v>
      </c>
      <c r="E85" s="259">
        <f t="shared" si="10"/>
        <v>1917</v>
      </c>
      <c r="F85" s="183">
        <v>2996</v>
      </c>
      <c r="G85" s="183">
        <f t="shared" si="13"/>
        <v>4913</v>
      </c>
      <c r="H85" s="181">
        <f t="shared" si="11"/>
        <v>1.8902811998164583E-3</v>
      </c>
      <c r="J85" s="136"/>
      <c r="K85" s="136"/>
      <c r="M85" s="237">
        <f t="shared" si="12"/>
        <v>0.4789432637941119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90">
        <v>0</v>
      </c>
      <c r="D86" s="290">
        <v>0</v>
      </c>
      <c r="E86" s="259">
        <f t="shared" si="10"/>
        <v>0</v>
      </c>
      <c r="F86" s="183">
        <v>18595</v>
      </c>
      <c r="G86" s="183">
        <f t="shared" si="13"/>
        <v>18595</v>
      </c>
      <c r="H86" s="181">
        <f t="shared" si="11"/>
        <v>7.1544430919167597E-3</v>
      </c>
      <c r="J86" s="136"/>
      <c r="K86" s="136"/>
      <c r="M86" s="237">
        <f t="shared" si="12"/>
        <v>1.812731526613375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90">
        <v>10071</v>
      </c>
      <c r="D87" s="290">
        <v>0</v>
      </c>
      <c r="E87" s="259">
        <f t="shared" si="10"/>
        <v>10071</v>
      </c>
      <c r="F87" s="330">
        <f>(1829-1290)</f>
        <v>539</v>
      </c>
      <c r="G87" s="183">
        <f t="shared" si="13"/>
        <v>10610</v>
      </c>
      <c r="H87" s="181">
        <f t="shared" si="11"/>
        <v>4.0822071097196466E-3</v>
      </c>
      <c r="J87" s="136"/>
      <c r="K87" s="136"/>
      <c r="M87" s="237">
        <f t="shared" si="12"/>
        <v>1.0343146812244102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90">
        <v>0</v>
      </c>
      <c r="D88" s="290">
        <v>0</v>
      </c>
      <c r="E88" s="259">
        <f t="shared" si="10"/>
        <v>0</v>
      </c>
      <c r="F88" s="330">
        <f>(1196+2055)</f>
        <v>3251</v>
      </c>
      <c r="G88" s="183">
        <f t="shared" si="13"/>
        <v>3251</v>
      </c>
      <c r="H88" s="181">
        <f t="shared" si="11"/>
        <v>1.2508251945050491E-3</v>
      </c>
      <c r="J88" s="136"/>
      <c r="K88" s="136"/>
      <c r="M88" s="237">
        <f t="shared" si="12"/>
        <v>0.31692337687658412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90">
        <v>9370</v>
      </c>
      <c r="D89" s="290">
        <v>0</v>
      </c>
      <c r="E89" s="259">
        <f t="shared" si="10"/>
        <v>9370</v>
      </c>
      <c r="F89" s="330">
        <f>(15918+3264+2180)</f>
        <v>21362</v>
      </c>
      <c r="G89" s="183">
        <f t="shared" si="13"/>
        <v>30732</v>
      </c>
      <c r="H89" s="181">
        <f t="shared" si="11"/>
        <v>1.1824164834675228E-2</v>
      </c>
      <c r="J89" s="136"/>
      <c r="K89" s="136"/>
      <c r="M89" s="237">
        <f t="shared" si="12"/>
        <v>2.9959056346266331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90">
        <v>0</v>
      </c>
      <c r="D90" s="290"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90">
        <v>10057</v>
      </c>
      <c r="D91" s="290">
        <v>0</v>
      </c>
      <c r="E91" s="259">
        <f t="shared" si="10"/>
        <v>10057</v>
      </c>
      <c r="F91" s="330">
        <f>(10422-1196-3264-2055-2180-1637)</f>
        <v>90</v>
      </c>
      <c r="G91" s="183">
        <f t="shared" si="13"/>
        <v>10147</v>
      </c>
      <c r="H91" s="181">
        <f t="shared" si="11"/>
        <v>3.9040674403699577E-3</v>
      </c>
      <c r="J91" s="136"/>
      <c r="K91" s="136"/>
      <c r="M91" s="237">
        <f t="shared" si="12"/>
        <v>0.98917917722752968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90">
        <v>43106</v>
      </c>
      <c r="D92" s="290">
        <v>1116</v>
      </c>
      <c r="E92" s="183">
        <f>SUM(E80:E91)</f>
        <v>44222</v>
      </c>
      <c r="F92" s="183">
        <f>SUM(F80:F91)</f>
        <v>85549</v>
      </c>
      <c r="G92" s="183">
        <f>IF(ISERROR(E92+F92),"",(E92+F92))</f>
        <v>129771</v>
      </c>
      <c r="H92" s="181">
        <f t="shared" si="11"/>
        <v>4.9929509786562506E-2</v>
      </c>
      <c r="J92" s="136"/>
      <c r="K92" s="136"/>
      <c r="M92" s="237">
        <f t="shared" si="12"/>
        <v>12.650711639695848</v>
      </c>
      <c r="N92" s="243">
        <f>SUMMARY!M92</f>
        <v>10.36414021133649</v>
      </c>
      <c r="O92" s="238">
        <f>M92/N92-1</f>
        <v>0.22062335917245335</v>
      </c>
      <c r="P92" s="178">
        <f>IF(O92&gt;=0.2,0.6,0)</f>
        <v>0.6</v>
      </c>
    </row>
    <row r="93" spans="1:16" s="43" customFormat="1">
      <c r="A93" s="42"/>
      <c r="C93" s="291"/>
      <c r="D93" s="291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91"/>
      <c r="D94" s="291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90">
        <v>36852</v>
      </c>
      <c r="D95" s="290">
        <v>0</v>
      </c>
      <c r="E95" s="259">
        <f t="shared" ref="E95:E100" si="14">SUM(C95:D95)</f>
        <v>36852</v>
      </c>
      <c r="F95" s="180">
        <v>69581</v>
      </c>
      <c r="G95" s="180">
        <f t="shared" ref="G95:G101" si="15">IF(ISERROR(E95+F95),"",(E95+F95))</f>
        <v>106433</v>
      </c>
      <c r="H95" s="181">
        <f t="shared" ref="H95:H101" si="16">IF(ISERROR(G95/$G$183),"",(G95/$G$183))</f>
        <v>4.0950193148802182E-2</v>
      </c>
      <c r="J95" s="261">
        <f>3149.16666666667+5960</f>
        <v>9109.1666666666697</v>
      </c>
      <c r="K95" s="261">
        <f>3328.46+6481</f>
        <v>9809.4599999999991</v>
      </c>
      <c r="M95" s="237">
        <f t="shared" ref="M95:M101" si="17">IFERROR(G95/G$198,0)</f>
        <v>10.375609280561513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90">
        <v>0</v>
      </c>
      <c r="D96" s="290">
        <v>3673</v>
      </c>
      <c r="E96" s="259">
        <f t="shared" si="14"/>
        <v>3673</v>
      </c>
      <c r="F96" s="183">
        <v>7143</v>
      </c>
      <c r="G96" s="183">
        <f t="shared" si="15"/>
        <v>10816</v>
      </c>
      <c r="H96" s="181">
        <f t="shared" si="16"/>
        <v>4.1614657962985571E-3</v>
      </c>
      <c r="J96" s="136"/>
      <c r="K96" s="136"/>
      <c r="M96" s="237">
        <f t="shared" si="17"/>
        <v>1.0543965685318775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90">
        <v>2616</v>
      </c>
      <c r="D97" s="290">
        <v>0</v>
      </c>
      <c r="E97" s="259">
        <f t="shared" si="14"/>
        <v>2616</v>
      </c>
      <c r="F97" s="183">
        <v>3040</v>
      </c>
      <c r="G97" s="183">
        <f t="shared" si="15"/>
        <v>5656</v>
      </c>
      <c r="H97" s="181">
        <f t="shared" si="16"/>
        <v>2.1761511227685504E-3</v>
      </c>
      <c r="J97" s="136"/>
      <c r="K97" s="136"/>
      <c r="M97" s="237">
        <f t="shared" si="17"/>
        <v>0.5513745369467733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90">
        <v>28923</v>
      </c>
      <c r="D98" s="290">
        <v>0</v>
      </c>
      <c r="E98" s="259">
        <f t="shared" si="14"/>
        <v>28923</v>
      </c>
      <c r="F98" s="183">
        <v>59959</v>
      </c>
      <c r="G98" s="183">
        <f t="shared" si="15"/>
        <v>88882</v>
      </c>
      <c r="H98" s="181">
        <f t="shared" si="16"/>
        <v>3.4197430002460096E-2</v>
      </c>
      <c r="J98" s="136"/>
      <c r="K98" s="136"/>
      <c r="M98" s="237">
        <f t="shared" si="17"/>
        <v>8.6646519789432634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90">
        <v>4109</v>
      </c>
      <c r="D99" s="290">
        <v>0</v>
      </c>
      <c r="E99" s="259">
        <f t="shared" si="14"/>
        <v>4109</v>
      </c>
      <c r="F99" s="183">
        <v>7783</v>
      </c>
      <c r="G99" s="183">
        <f t="shared" si="15"/>
        <v>11892</v>
      </c>
      <c r="H99" s="181">
        <f t="shared" si="16"/>
        <v>4.5754577708563655E-3</v>
      </c>
      <c r="J99" s="136"/>
      <c r="K99" s="136"/>
      <c r="M99" s="237">
        <f t="shared" si="17"/>
        <v>1.1592903100019496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90">
        <v>0</v>
      </c>
      <c r="D100" s="290">
        <v>0</v>
      </c>
      <c r="E100" s="259">
        <f t="shared" si="14"/>
        <v>0</v>
      </c>
      <c r="F100" s="183">
        <v>611</v>
      </c>
      <c r="G100" s="183">
        <f t="shared" si="15"/>
        <v>611</v>
      </c>
      <c r="H100" s="181">
        <f t="shared" si="16"/>
        <v>2.3508280339667331E-4</v>
      </c>
      <c r="J100" s="136"/>
      <c r="K100" s="136"/>
      <c r="M100" s="237">
        <f t="shared" si="17"/>
        <v>5.9563267693507504E-2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90">
        <v>72500</v>
      </c>
      <c r="D101" s="290">
        <v>3673</v>
      </c>
      <c r="E101" s="183">
        <f>SUM(E95:E100)</f>
        <v>76173</v>
      </c>
      <c r="F101" s="183">
        <f>SUM(F95:F100)</f>
        <v>148117</v>
      </c>
      <c r="G101" s="183">
        <f t="shared" si="15"/>
        <v>224290</v>
      </c>
      <c r="H101" s="181">
        <f t="shared" si="16"/>
        <v>8.6295780644582418E-2</v>
      </c>
      <c r="J101" s="136"/>
      <c r="K101" s="136"/>
      <c r="M101" s="237">
        <f t="shared" si="17"/>
        <v>21.864885942678885</v>
      </c>
      <c r="N101" s="243">
        <f>SUMMARY!M101</f>
        <v>14.116295917008408</v>
      </c>
      <c r="O101" s="238">
        <f>M101/N101-1</f>
        <v>0.54891099416061229</v>
      </c>
      <c r="P101" s="178">
        <f>IF(O101&gt;=0.2,0.9,0)</f>
        <v>0.9</v>
      </c>
    </row>
    <row r="102" spans="1:16" s="43" customFormat="1">
      <c r="A102" s="42"/>
      <c r="C102" s="291"/>
      <c r="D102" s="291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91"/>
      <c r="D103" s="291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90">
        <v>15956</v>
      </c>
      <c r="D104" s="290">
        <v>0</v>
      </c>
      <c r="E104" s="259">
        <f t="shared" ref="E104:E109" si="18">SUM(C104:D104)</f>
        <v>15956</v>
      </c>
      <c r="F104" s="180">
        <v>30811</v>
      </c>
      <c r="G104" s="180">
        <f t="shared" ref="G104:G110" si="19">IF(ISERROR(E104+F104),"",(E104+F104))</f>
        <v>46767</v>
      </c>
      <c r="H104" s="181">
        <f t="shared" ref="H104:H110" si="20">IF(ISERROR(G104/$G$183),"",(G104/$G$183))</f>
        <v>1.7993645607941443E-2</v>
      </c>
      <c r="J104" s="261">
        <f>1178.16666666667+2399</f>
        <v>3577.1666666666697</v>
      </c>
      <c r="K104" s="261">
        <f>1212.16666666667+2703</f>
        <v>3915.1666666666697</v>
      </c>
      <c r="M104" s="237">
        <f t="shared" ref="M104:M110" si="21">IFERROR(G104/G$198,0)</f>
        <v>4.5590758432442975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90">
        <v>0</v>
      </c>
      <c r="D105" s="290">
        <v>1590</v>
      </c>
      <c r="E105" s="259">
        <f t="shared" si="18"/>
        <v>1590</v>
      </c>
      <c r="F105" s="183">
        <v>3122</v>
      </c>
      <c r="G105" s="183">
        <f t="shared" si="19"/>
        <v>4712</v>
      </c>
      <c r="H105" s="181">
        <f t="shared" si="20"/>
        <v>1.8129462677661614E-3</v>
      </c>
      <c r="J105" s="136"/>
      <c r="K105" s="136"/>
      <c r="M105" s="237">
        <f t="shared" si="21"/>
        <v>0.45934880093585495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90">
        <v>0</v>
      </c>
      <c r="D106" s="290"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90">
        <v>0</v>
      </c>
      <c r="D107" s="290">
        <v>0</v>
      </c>
      <c r="E107" s="259">
        <f t="shared" si="18"/>
        <v>0</v>
      </c>
      <c r="F107" s="183">
        <v>1292</v>
      </c>
      <c r="G107" s="183">
        <f t="shared" si="19"/>
        <v>1292</v>
      </c>
      <c r="H107" s="181">
        <f t="shared" si="20"/>
        <v>4.9709817019394755E-4</v>
      </c>
      <c r="J107" s="136"/>
      <c r="K107" s="136"/>
      <c r="M107" s="237">
        <f t="shared" si="21"/>
        <v>0.12595047767596024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90">
        <v>3280</v>
      </c>
      <c r="D108" s="290">
        <v>0</v>
      </c>
      <c r="E108" s="259">
        <f t="shared" si="18"/>
        <v>3280</v>
      </c>
      <c r="F108" s="183">
        <v>2575</v>
      </c>
      <c r="G108" s="183">
        <f t="shared" si="19"/>
        <v>5855</v>
      </c>
      <c r="H108" s="181">
        <f t="shared" si="20"/>
        <v>2.2527165530074012E-3</v>
      </c>
      <c r="J108" s="136"/>
      <c r="K108" s="136"/>
      <c r="M108" s="237">
        <f t="shared" si="21"/>
        <v>0.5707740300253461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90">
        <v>0</v>
      </c>
      <c r="D109" s="290"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90">
        <v>19236</v>
      </c>
      <c r="D110" s="290">
        <v>1590</v>
      </c>
      <c r="E110" s="183">
        <f>SUM(E104:E109)</f>
        <v>20826</v>
      </c>
      <c r="F110" s="183">
        <f>SUM(F104:F109)</f>
        <v>37800</v>
      </c>
      <c r="G110" s="183">
        <f t="shared" si="19"/>
        <v>58626</v>
      </c>
      <c r="H110" s="181">
        <f t="shared" si="20"/>
        <v>2.2556406598908951E-2</v>
      </c>
      <c r="J110" s="136"/>
      <c r="K110" s="136"/>
      <c r="M110" s="237">
        <f t="shared" si="21"/>
        <v>5.7151491518814588</v>
      </c>
      <c r="N110" s="243">
        <f>SUMMARY!M110</f>
        <v>2.6822243142585545</v>
      </c>
      <c r="O110" s="238">
        <f>M110/N110-1</f>
        <v>1.1307498860181253</v>
      </c>
      <c r="P110" s="178">
        <f>IF(O110&gt;=0.2,0.2,0)</f>
        <v>0.2</v>
      </c>
    </row>
    <row r="111" spans="1:16" s="43" customFormat="1">
      <c r="A111" s="42"/>
      <c r="C111" s="291"/>
      <c r="D111" s="291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91"/>
      <c r="D112" s="291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90">
        <v>0</v>
      </c>
      <c r="D113" s="290"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90">
        <v>0</v>
      </c>
      <c r="D114" s="290"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90">
        <v>4647</v>
      </c>
      <c r="D115" s="290">
        <v>0</v>
      </c>
      <c r="E115" s="259">
        <f t="shared" si="22"/>
        <v>4647</v>
      </c>
      <c r="F115" s="183">
        <v>0</v>
      </c>
      <c r="G115" s="183">
        <f t="shared" si="23"/>
        <v>4647</v>
      </c>
      <c r="H115" s="181">
        <f t="shared" si="24"/>
        <v>1.7879374588941749E-3</v>
      </c>
      <c r="J115" s="136"/>
      <c r="K115" s="136"/>
      <c r="M115" s="237">
        <f t="shared" si="25"/>
        <v>0.45301228309612013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90">
        <v>0</v>
      </c>
      <c r="D116" s="290">
        <v>0</v>
      </c>
      <c r="E116" s="259">
        <f t="shared" si="22"/>
        <v>0</v>
      </c>
      <c r="F116" s="334">
        <v>11370</v>
      </c>
      <c r="G116" s="183">
        <f t="shared" si="23"/>
        <v>11370</v>
      </c>
      <c r="H116" s="181">
        <f t="shared" si="24"/>
        <v>4.3746177980690274E-3</v>
      </c>
      <c r="J116" s="136"/>
      <c r="K116" s="136"/>
      <c r="M116" s="237">
        <f t="shared" si="25"/>
        <v>1.1084031975043869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90">
        <v>0</v>
      </c>
      <c r="D117" s="290"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90">
        <v>4647</v>
      </c>
      <c r="D118" s="290">
        <v>0</v>
      </c>
      <c r="E118" s="183">
        <f>SUM(E113:E117)</f>
        <v>4647</v>
      </c>
      <c r="F118" s="183">
        <f>SUM(F113:F117)</f>
        <v>11370</v>
      </c>
      <c r="G118" s="183">
        <f t="shared" si="23"/>
        <v>16017</v>
      </c>
      <c r="H118" s="181">
        <f t="shared" si="24"/>
        <v>6.1625552569632026E-3</v>
      </c>
      <c r="J118" s="136"/>
      <c r="K118" s="136"/>
      <c r="M118" s="237">
        <f t="shared" si="25"/>
        <v>1.5614154806005069</v>
      </c>
      <c r="N118" s="243">
        <f>SUMMARY!M118</f>
        <v>3.1676887539780583</v>
      </c>
      <c r="O118" s="238">
        <f>M118/N118-1</f>
        <v>-0.50708052404465409</v>
      </c>
      <c r="P118" s="178">
        <f>IF(O118&gt;=0.2,0.2,0)</f>
        <v>0</v>
      </c>
    </row>
    <row r="119" spans="1:16" s="43" customFormat="1">
      <c r="A119" s="42"/>
      <c r="B119" s="116"/>
      <c r="C119" s="291"/>
      <c r="D119" s="291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91"/>
      <c r="D120" s="291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90">
        <v>32252</v>
      </c>
      <c r="D121" s="290">
        <v>0</v>
      </c>
      <c r="E121" s="259">
        <f t="shared" ref="E121:E131" si="26">SUM(C121:D121)</f>
        <v>32252</v>
      </c>
      <c r="F121" s="180">
        <v>66916</v>
      </c>
      <c r="G121" s="180">
        <f>IF(ISERROR(E121+F121),"",(E121+F121))</f>
        <v>99168</v>
      </c>
      <c r="H121" s="181">
        <f>IF(ISERROR(G121/$G$183),"",(G121/$G$183))</f>
        <v>3.8154977818725531E-2</v>
      </c>
      <c r="J121" s="261">
        <f>1290.66666666667+2524</f>
        <v>3814.6666666666697</v>
      </c>
      <c r="K121" s="261">
        <f>1360+2616</f>
        <v>3976</v>
      </c>
      <c r="M121" s="237">
        <f t="shared" ref="M121:M131" si="27">IFERROR(G121/G$198,0)</f>
        <v>9.6673815558588423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90">
        <v>0</v>
      </c>
      <c r="D122" s="290">
        <v>3215</v>
      </c>
      <c r="E122" s="259">
        <f t="shared" si="26"/>
        <v>3215</v>
      </c>
      <c r="F122" s="180">
        <v>6702</v>
      </c>
      <c r="G122" s="180">
        <f t="shared" ref="G122:G131" si="28">IF(ISERROR(E122+F122),"",(E122+F122))</f>
        <v>9917</v>
      </c>
      <c r="H122" s="181">
        <f t="shared" ref="H122:H131" si="29">IF(ISERROR(G122/$G$183),"",(G122/$G$183))</f>
        <v>3.8155747320536976E-3</v>
      </c>
      <c r="J122" s="136"/>
      <c r="K122" s="136"/>
      <c r="M122" s="237">
        <f t="shared" si="27"/>
        <v>0.9667576525638526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90">
        <v>49141</v>
      </c>
      <c r="D123" s="290">
        <v>0</v>
      </c>
      <c r="E123" s="259">
        <f t="shared" si="26"/>
        <v>49141</v>
      </c>
      <c r="F123" s="180">
        <v>88638</v>
      </c>
      <c r="G123" s="180">
        <f t="shared" si="28"/>
        <v>137779</v>
      </c>
      <c r="H123" s="181">
        <f t="shared" si="29"/>
        <v>5.3010595039591248E-2</v>
      </c>
      <c r="J123" s="261">
        <f>4485.58333333333+6748</f>
        <v>11233.58333333333</v>
      </c>
      <c r="K123" s="261">
        <f>4764.35333333333+7230</f>
        <v>11994.353333333329</v>
      </c>
      <c r="M123" s="237">
        <f t="shared" si="27"/>
        <v>13.431370637551179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90">
        <v>0</v>
      </c>
      <c r="D124" s="290">
        <v>4898</v>
      </c>
      <c r="E124" s="259">
        <f t="shared" si="26"/>
        <v>4898</v>
      </c>
      <c r="F124" s="180">
        <v>8878</v>
      </c>
      <c r="G124" s="180">
        <f t="shared" si="28"/>
        <v>13776</v>
      </c>
      <c r="H124" s="181">
        <f t="shared" si="29"/>
        <v>5.3003284772382515E-3</v>
      </c>
      <c r="J124" s="136"/>
      <c r="K124" s="136"/>
      <c r="M124" s="237">
        <f t="shared" si="27"/>
        <v>1.342951842464418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90">
        <v>0</v>
      </c>
      <c r="D125" s="290"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90">
        <v>9218</v>
      </c>
      <c r="D126" s="290">
        <v>0</v>
      </c>
      <c r="E126" s="259">
        <f t="shared" si="26"/>
        <v>9218</v>
      </c>
      <c r="F126" s="180">
        <v>19653</v>
      </c>
      <c r="G126" s="180">
        <f t="shared" si="28"/>
        <v>28871</v>
      </c>
      <c r="H126" s="181">
        <f t="shared" si="29"/>
        <v>1.1108143399124968E-2</v>
      </c>
      <c r="J126" s="136"/>
      <c r="K126" s="136"/>
      <c r="M126" s="237">
        <f t="shared" si="27"/>
        <v>2.8144862546305323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90">
        <v>0</v>
      </c>
      <c r="D127" s="290"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90">
        <v>0</v>
      </c>
      <c r="D128" s="290"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90">
        <v>4950</v>
      </c>
      <c r="D129" s="290">
        <v>0</v>
      </c>
      <c r="E129" s="259">
        <f t="shared" si="26"/>
        <v>4950</v>
      </c>
      <c r="F129" s="335">
        <f>(19308-11370)</f>
        <v>7938</v>
      </c>
      <c r="G129" s="180">
        <f t="shared" si="28"/>
        <v>12888</v>
      </c>
      <c r="H129" s="181">
        <f t="shared" si="29"/>
        <v>4.9586696729563432E-3</v>
      </c>
      <c r="J129" s="136"/>
      <c r="K129" s="136"/>
      <c r="M129" s="237">
        <f t="shared" si="27"/>
        <v>1.2563852602846559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90">
        <v>0</v>
      </c>
      <c r="D130" s="290"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90">
        <v>0</v>
      </c>
      <c r="D131" s="290"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295"/>
      <c r="D132" s="295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90">
        <v>0</v>
      </c>
      <c r="D133" s="290"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90">
        <v>0</v>
      </c>
      <c r="D134" s="290"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90">
        <v>0</v>
      </c>
      <c r="D135" s="290"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90">
        <v>0</v>
      </c>
      <c r="D136" s="290"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90">
        <v>0</v>
      </c>
      <c r="D137" s="290"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90">
        <v>0</v>
      </c>
      <c r="D138" s="290"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90">
        <v>95561</v>
      </c>
      <c r="D139" s="290">
        <v>8113</v>
      </c>
      <c r="E139" s="182">
        <f>SUM(E121:E138)</f>
        <v>103674</v>
      </c>
      <c r="F139" s="182">
        <f>SUM(F121:F138)</f>
        <v>198725</v>
      </c>
      <c r="G139" s="183">
        <f t="shared" si="33"/>
        <v>302399</v>
      </c>
      <c r="H139" s="181">
        <f t="shared" si="31"/>
        <v>0.11634828913969004</v>
      </c>
      <c r="J139" s="136"/>
      <c r="K139" s="136"/>
      <c r="M139" s="237">
        <f t="shared" si="32"/>
        <v>29.47933320335348</v>
      </c>
      <c r="N139" s="243">
        <f>SUMMARY!M139</f>
        <v>37.231450929246826</v>
      </c>
      <c r="O139" s="238">
        <f>M139/N139-1</f>
        <v>-0.20821422567240699</v>
      </c>
      <c r="P139" s="178">
        <f>IF(O139&gt;=0.2,1.6,0)</f>
        <v>0</v>
      </c>
    </row>
    <row r="140" spans="1:16" s="43" customFormat="1">
      <c r="A140" s="42"/>
      <c r="B140" s="116"/>
      <c r="C140" s="296"/>
      <c r="D140" s="296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222"/>
      <c r="D141" s="291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90">
        <v>0</v>
      </c>
      <c r="D142" s="290"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90">
        <v>0</v>
      </c>
      <c r="D143" s="290"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90">
        <v>0</v>
      </c>
      <c r="D144" s="290"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90">
        <v>0</v>
      </c>
      <c r="D145" s="290"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90">
        <v>2547</v>
      </c>
      <c r="D146" s="290">
        <v>0</v>
      </c>
      <c r="E146" s="259">
        <f t="shared" si="34"/>
        <v>2547</v>
      </c>
      <c r="F146" s="183">
        <v>4619</v>
      </c>
      <c r="G146" s="183">
        <f t="shared" si="35"/>
        <v>7166</v>
      </c>
      <c r="H146" s="181">
        <f t="shared" si="36"/>
        <v>2.7571249904100835E-3</v>
      </c>
      <c r="J146" s="136"/>
      <c r="K146" s="136"/>
      <c r="M146" s="237">
        <f t="shared" si="37"/>
        <v>0.69857672060830567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90">
        <v>2547</v>
      </c>
      <c r="D147" s="290">
        <v>0</v>
      </c>
      <c r="E147" s="183">
        <f>SUM(E142:E146)</f>
        <v>2547</v>
      </c>
      <c r="F147" s="183">
        <f>SUM(F142:F146)</f>
        <v>4619</v>
      </c>
      <c r="G147" s="183">
        <f t="shared" si="35"/>
        <v>7166</v>
      </c>
      <c r="H147" s="204">
        <f t="shared" si="36"/>
        <v>2.7571249904100835E-3</v>
      </c>
      <c r="J147" s="136"/>
      <c r="K147" s="136"/>
      <c r="M147" s="237">
        <f t="shared" si="37"/>
        <v>0.69857672060830567</v>
      </c>
      <c r="N147" s="243">
        <f>SUMMARY!M147</f>
        <v>3.5319826687546212</v>
      </c>
      <c r="O147" s="238">
        <f>M147/N147-1</f>
        <v>-0.80221400099490747</v>
      </c>
      <c r="P147" s="178">
        <f>IF(O147&gt;=0.2,0.3,0)</f>
        <v>0</v>
      </c>
    </row>
    <row r="148" spans="1:16" s="43" customFormat="1">
      <c r="A148" s="42"/>
      <c r="B148" s="116"/>
      <c r="C148" s="291"/>
      <c r="D148" s="291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295"/>
      <c r="D149" s="295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90">
        <v>272974</v>
      </c>
      <c r="D150" s="290">
        <v>0</v>
      </c>
      <c r="E150" s="259">
        <f t="shared" ref="E150:E163" si="38">SUM(C150:D150)</f>
        <v>272974</v>
      </c>
      <c r="F150" s="183">
        <v>524400</v>
      </c>
      <c r="G150" s="183">
        <f>IF(ISERROR(E150+F150),"",(E150+F150))</f>
        <v>797374</v>
      </c>
      <c r="H150" s="181">
        <f>IF(ISERROR(G150/$G$183),"",(G150/$G$183))</f>
        <v>0.30679036869986742</v>
      </c>
      <c r="J150" s="261">
        <f>22155.8333333333+43908</f>
        <v>66063.833333333299</v>
      </c>
      <c r="K150" s="261">
        <f>23066.9833333333+46223</f>
        <v>69289.983333333308</v>
      </c>
      <c r="M150" s="237">
        <f t="shared" ref="M150:M164" si="39">IFERROR(G150/G$198,0)</f>
        <v>77.731916552934294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90">
        <v>0</v>
      </c>
      <c r="D151" s="290">
        <v>27210</v>
      </c>
      <c r="E151" s="259">
        <f t="shared" si="38"/>
        <v>27210</v>
      </c>
      <c r="F151" s="183">
        <v>53882</v>
      </c>
      <c r="G151" s="183">
        <f>IF(ISERROR(E151+F151),"",(E151+F151))</f>
        <v>81092</v>
      </c>
      <c r="H151" s="181">
        <f>IF(ISERROR(G151/$G$183),"",(G151/$G$183))</f>
        <v>3.1200220446878941E-2</v>
      </c>
      <c r="J151" s="136"/>
      <c r="K151" s="136"/>
      <c r="M151" s="237">
        <f t="shared" si="39"/>
        <v>7.9052446870735036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90">
        <v>0</v>
      </c>
      <c r="D152" s="290"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90">
        <v>0</v>
      </c>
      <c r="D153" s="290"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90">
        <v>270</v>
      </c>
      <c r="D154" s="290">
        <v>0</v>
      </c>
      <c r="E154" s="259">
        <f t="shared" si="38"/>
        <v>270</v>
      </c>
      <c r="F154" s="183">
        <v>945</v>
      </c>
      <c r="G154" s="183">
        <f t="shared" si="40"/>
        <v>1215</v>
      </c>
      <c r="H154" s="181">
        <f t="shared" si="41"/>
        <v>4.6747235045328653E-4</v>
      </c>
      <c r="J154" s="206"/>
      <c r="K154" s="206"/>
      <c r="M154" s="237">
        <f t="shared" si="39"/>
        <v>0.11844414115812049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90">
        <v>700</v>
      </c>
      <c r="D155" s="290">
        <v>0</v>
      </c>
      <c r="E155" s="259">
        <f t="shared" si="38"/>
        <v>700</v>
      </c>
      <c r="F155" s="183">
        <v>1050</v>
      </c>
      <c r="G155" s="183">
        <f t="shared" si="40"/>
        <v>1750</v>
      </c>
      <c r="H155" s="181">
        <f t="shared" si="41"/>
        <v>6.7331408501502177E-4</v>
      </c>
      <c r="J155" s="206"/>
      <c r="K155" s="206"/>
      <c r="M155" s="237">
        <f t="shared" si="39"/>
        <v>0.17059855722363035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90">
        <v>0</v>
      </c>
      <c r="D156" s="290"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90">
        <v>1053</v>
      </c>
      <c r="D157" s="290">
        <v>0</v>
      </c>
      <c r="E157" s="259">
        <f t="shared" si="38"/>
        <v>1053</v>
      </c>
      <c r="F157" s="183">
        <v>1593</v>
      </c>
      <c r="G157" s="183">
        <f t="shared" si="40"/>
        <v>2646</v>
      </c>
      <c r="H157" s="181">
        <f t="shared" si="41"/>
        <v>1.0180508965427128E-3</v>
      </c>
      <c r="J157" s="206"/>
      <c r="K157" s="206"/>
      <c r="M157" s="237">
        <f t="shared" si="39"/>
        <v>0.25794501852212909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90">
        <v>453</v>
      </c>
      <c r="D158" s="290">
        <v>0</v>
      </c>
      <c r="E158" s="259">
        <f t="shared" si="38"/>
        <v>453</v>
      </c>
      <c r="F158" s="183">
        <v>473</v>
      </c>
      <c r="G158" s="183">
        <f t="shared" si="40"/>
        <v>926</v>
      </c>
      <c r="H158" s="181">
        <f t="shared" si="41"/>
        <v>3.5627933869937723E-4</v>
      </c>
      <c r="J158" s="206"/>
      <c r="K158" s="206"/>
      <c r="M158" s="237">
        <f t="shared" si="39"/>
        <v>9.0271007993760963E-2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90">
        <v>54888</v>
      </c>
      <c r="D159" s="290">
        <v>0</v>
      </c>
      <c r="E159" s="259">
        <f t="shared" si="38"/>
        <v>54888</v>
      </c>
      <c r="F159" s="183">
        <v>109149</v>
      </c>
      <c r="G159" s="183">
        <f t="shared" si="40"/>
        <v>164037</v>
      </c>
      <c r="H159" s="181">
        <f t="shared" si="41"/>
        <v>6.3113384322062357E-2</v>
      </c>
      <c r="J159" s="206"/>
      <c r="K159" s="206"/>
      <c r="M159" s="237">
        <f t="shared" si="39"/>
        <v>15.991128875024371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90">
        <v>0</v>
      </c>
      <c r="D160" s="290">
        <v>0</v>
      </c>
      <c r="E160" s="259">
        <f t="shared" si="38"/>
        <v>0</v>
      </c>
      <c r="F160" s="183">
        <v>0</v>
      </c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90">
        <v>250</v>
      </c>
      <c r="D161" s="290">
        <v>0</v>
      </c>
      <c r="E161" s="259">
        <f t="shared" si="38"/>
        <v>250</v>
      </c>
      <c r="F161" s="183">
        <v>0</v>
      </c>
      <c r="G161" s="183">
        <f t="shared" si="40"/>
        <v>250</v>
      </c>
      <c r="H161" s="181">
        <f t="shared" si="41"/>
        <v>9.6187726430717397E-5</v>
      </c>
      <c r="J161" s="136"/>
      <c r="K161" s="136"/>
      <c r="M161" s="237">
        <f t="shared" si="39"/>
        <v>2.4371222460518621E-2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90">
        <v>1781</v>
      </c>
      <c r="D162" s="290">
        <v>0</v>
      </c>
      <c r="E162" s="259">
        <f t="shared" si="38"/>
        <v>1781</v>
      </c>
      <c r="F162" s="183">
        <v>2963</v>
      </c>
      <c r="G162" s="183">
        <f t="shared" si="40"/>
        <v>4744</v>
      </c>
      <c r="H162" s="181">
        <f t="shared" si="41"/>
        <v>1.8252582967492933E-3</v>
      </c>
      <c r="J162" s="136"/>
      <c r="K162" s="136"/>
      <c r="M162" s="237">
        <f t="shared" si="39"/>
        <v>0.4624683174108013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90">
        <v>0</v>
      </c>
      <c r="D163" s="290"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90">
        <v>332369</v>
      </c>
      <c r="D164" s="290">
        <v>27210</v>
      </c>
      <c r="E164" s="183">
        <f>SUM(E150:E163)</f>
        <v>359579</v>
      </c>
      <c r="F164" s="183">
        <f>SUM(F150:F163)</f>
        <v>694455</v>
      </c>
      <c r="G164" s="183">
        <f>IF(ISERROR(E164+F164),"",(E164+F164))</f>
        <v>1054034</v>
      </c>
      <c r="H164" s="181">
        <f>IF(ISERROR(G164/$G$183),"",(G164/$G$183))</f>
        <v>0.40554053616269914</v>
      </c>
      <c r="J164" s="136"/>
      <c r="K164" s="136"/>
      <c r="M164" s="237">
        <f t="shared" si="39"/>
        <v>102.75238837980113</v>
      </c>
      <c r="N164" s="243">
        <f>SUMMARY!M164</f>
        <v>48.166333206280392</v>
      </c>
      <c r="O164" s="238">
        <f>M164/N164-1</f>
        <v>1.133282347646162</v>
      </c>
      <c r="P164" s="178">
        <f>IF(O164&gt;=0.2,3.5,0)</f>
        <v>3.5</v>
      </c>
    </row>
    <row r="165" spans="1:16" s="43" customFormat="1">
      <c r="A165" s="42"/>
      <c r="C165" s="291"/>
      <c r="D165" s="291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97"/>
      <c r="D166" s="297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90">
        <v>0</v>
      </c>
      <c r="D167" s="290"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90">
        <v>0</v>
      </c>
      <c r="D168" s="290"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90">
        <v>0</v>
      </c>
      <c r="D169" s="290"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90">
        <v>400</v>
      </c>
      <c r="D170" s="290">
        <v>0</v>
      </c>
      <c r="E170" s="259">
        <f t="shared" si="42"/>
        <v>400</v>
      </c>
      <c r="F170" s="183">
        <v>2319</v>
      </c>
      <c r="G170" s="183">
        <f>IF(ISERROR(E170+F170),"",(E170+F170))</f>
        <v>2719</v>
      </c>
      <c r="H170" s="181">
        <f>IF(ISERROR(G170/$G$183),"",(G170/$G$183))</f>
        <v>1.0461377126604824E-3</v>
      </c>
      <c r="I170" s="215"/>
      <c r="J170" s="211"/>
      <c r="K170" s="42"/>
      <c r="M170" s="237">
        <f t="shared" si="43"/>
        <v>0.26506141548060053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90">
        <v>0</v>
      </c>
      <c r="D171" s="290">
        <v>0</v>
      </c>
      <c r="E171" s="259">
        <f t="shared" si="42"/>
        <v>0</v>
      </c>
      <c r="F171" s="183">
        <v>0</v>
      </c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90">
        <v>1688</v>
      </c>
      <c r="D172" s="290">
        <v>0</v>
      </c>
      <c r="E172" s="259">
        <f t="shared" si="42"/>
        <v>1688</v>
      </c>
      <c r="F172" s="183">
        <v>4200</v>
      </c>
      <c r="G172" s="183">
        <f t="shared" ref="G172:G181" si="44">IF(ISERROR(E172+F172),"",(E172+F172))</f>
        <v>5888</v>
      </c>
      <c r="H172" s="181">
        <f t="shared" ref="H172:H180" si="45">IF(ISERROR(G172/$G$183),"",(G172/$G$183))</f>
        <v>2.2654133328962561E-3</v>
      </c>
      <c r="I172" s="215"/>
      <c r="J172" s="211"/>
      <c r="K172" s="42"/>
      <c r="M172" s="237">
        <f t="shared" si="43"/>
        <v>0.57399103139013452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90">
        <v>1440</v>
      </c>
      <c r="D173" s="290">
        <v>0</v>
      </c>
      <c r="E173" s="259">
        <f t="shared" si="42"/>
        <v>1440</v>
      </c>
      <c r="F173" s="183">
        <v>1510</v>
      </c>
      <c r="G173" s="183">
        <f t="shared" si="44"/>
        <v>2950</v>
      </c>
      <c r="H173" s="181">
        <f t="shared" si="45"/>
        <v>1.1350151718824654E-3</v>
      </c>
      <c r="I173" s="215"/>
      <c r="J173" s="211"/>
      <c r="K173" s="42"/>
      <c r="M173" s="237">
        <f t="shared" si="43"/>
        <v>0.28758042503411974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90">
        <v>0</v>
      </c>
      <c r="D174" s="290"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90">
        <v>0</v>
      </c>
      <c r="D175" s="290"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90">
        <v>0</v>
      </c>
      <c r="D176" s="290"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90">
        <v>0</v>
      </c>
      <c r="D177" s="290"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90">
        <v>559</v>
      </c>
      <c r="D178" s="290">
        <v>0</v>
      </c>
      <c r="E178" s="259">
        <f t="shared" si="42"/>
        <v>559</v>
      </c>
      <c r="F178" s="183">
        <v>0</v>
      </c>
      <c r="G178" s="183">
        <f t="shared" si="44"/>
        <v>559</v>
      </c>
      <c r="H178" s="181">
        <f t="shared" si="45"/>
        <v>2.1507575629908411E-4</v>
      </c>
      <c r="I178" s="215"/>
      <c r="J178" s="211"/>
      <c r="K178" s="42"/>
      <c r="M178" s="237">
        <f t="shared" si="43"/>
        <v>5.4494053421719632E-2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90">
        <v>0</v>
      </c>
      <c r="D179" s="290"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90">
        <v>0</v>
      </c>
      <c r="D180" s="290"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90">
        <v>4087</v>
      </c>
      <c r="D181" s="290">
        <v>0</v>
      </c>
      <c r="E181" s="218">
        <f>SUM(E167:E180)</f>
        <v>4087</v>
      </c>
      <c r="F181" s="316">
        <f>SUM(F167:F180)</f>
        <v>8029</v>
      </c>
      <c r="G181" s="183">
        <f t="shared" si="44"/>
        <v>12116</v>
      </c>
      <c r="H181" s="181">
        <f>IF(ISERROR(G181/$G$183),"",(G181/$G$183))</f>
        <v>4.6616419737382881E-3</v>
      </c>
      <c r="I181" s="219"/>
      <c r="J181" s="211"/>
      <c r="K181" s="211"/>
      <c r="M181" s="237">
        <f t="shared" si="43"/>
        <v>1.1811269253265744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91"/>
      <c r="D182" s="291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90">
        <v>986377</v>
      </c>
      <c r="D183" s="290">
        <v>-149.79999999999563</v>
      </c>
      <c r="E183" s="258">
        <f>SUM(E21:E181)/2</f>
        <v>986227.19999999995</v>
      </c>
      <c r="F183" s="179">
        <f>SUM(F21:F181)/2</f>
        <v>1612857</v>
      </c>
      <c r="G183" s="179">
        <f>SUM(G21:G181)/2</f>
        <v>2599084.2000000002</v>
      </c>
      <c r="H183" s="181">
        <f>IF(ISERROR(G183/$G$183),"",(G183/$G$183))</f>
        <v>1</v>
      </c>
      <c r="J183" s="261">
        <f>SUM(J21:J181)</f>
        <v>99891.416666666628</v>
      </c>
      <c r="K183" s="261">
        <f>SUM(K21:K181)</f>
        <v>105660.41666666664</v>
      </c>
      <c r="M183" s="237">
        <f>IFERROR(G183/G$198,0)</f>
        <v>253.37143692727628</v>
      </c>
      <c r="N183" s="243">
        <f>SUMMARY!M183</f>
        <v>169.52310231129192</v>
      </c>
      <c r="P183" s="178">
        <f>SUM(P57:P181)</f>
        <v>7.3000000000000007</v>
      </c>
    </row>
    <row r="184" spans="1:16" s="43" customFormat="1">
      <c r="A184" s="42"/>
      <c r="B184" s="116"/>
      <c r="C184" s="291"/>
      <c r="D184" s="291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91"/>
      <c r="D185" s="291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98">
        <v>986377</v>
      </c>
      <c r="D186" s="291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90">
        <v>0</v>
      </c>
      <c r="D187" s="280"/>
      <c r="E187" s="28"/>
      <c r="F187" s="285" t="s">
        <v>404</v>
      </c>
      <c r="G187" s="28"/>
      <c r="J187" s="136"/>
      <c r="K187" s="136"/>
    </row>
    <row r="188" spans="1:16" s="43" customFormat="1">
      <c r="A188" s="42"/>
      <c r="B188" s="223"/>
      <c r="C188" s="299"/>
      <c r="D188" s="299"/>
      <c r="E188" s="36"/>
      <c r="F188" s="285" t="s">
        <v>391</v>
      </c>
      <c r="G188" s="36"/>
      <c r="H188" s="178"/>
      <c r="J188" s="136"/>
      <c r="K188" s="136"/>
    </row>
    <row r="189" spans="1:16" s="43" customFormat="1">
      <c r="A189" s="42"/>
      <c r="B189" s="221"/>
      <c r="C189" s="291"/>
      <c r="D189" s="291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90">
        <v>-364505</v>
      </c>
      <c r="D190" s="290">
        <v>2394.9099999999958</v>
      </c>
      <c r="E190" s="259">
        <f>E17-E183</f>
        <v>-362110.08999999997</v>
      </c>
      <c r="F190" s="180">
        <f>F17-F183</f>
        <v>-405219</v>
      </c>
      <c r="G190" s="180">
        <f>G17-G183</f>
        <v>-767329.09000000032</v>
      </c>
      <c r="J190" s="136"/>
      <c r="K190" s="136"/>
      <c r="M190" s="237">
        <f>IFERROR(G190/G$198,0)</f>
        <v>-74.80299181126928</v>
      </c>
      <c r="N190" s="243">
        <f>SUMMARY!M190</f>
        <v>7.5236963679698476</v>
      </c>
    </row>
    <row r="191" spans="1:16" s="43" customFormat="1">
      <c r="A191" s="42"/>
      <c r="B191" s="221"/>
      <c r="C191" s="291"/>
      <c r="D191" s="291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91"/>
      <c r="D192" s="291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91"/>
      <c r="D193" s="291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300">
        <v>3520</v>
      </c>
      <c r="D194" s="301"/>
      <c r="E194" s="264">
        <f>C194+D194</f>
        <v>3520</v>
      </c>
      <c r="F194" s="224">
        <v>6738</v>
      </c>
      <c r="G194" s="225">
        <f>E194+F194</f>
        <v>10258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300">
        <v>0</v>
      </c>
      <c r="D195" s="301"/>
      <c r="E195" s="227">
        <f>C195+D195</f>
        <v>0</v>
      </c>
      <c r="F195" s="226">
        <v>0</v>
      </c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300">
        <v>0</v>
      </c>
      <c r="D196" s="301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300">
        <v>0</v>
      </c>
      <c r="D197" s="301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300">
        <v>3520</v>
      </c>
      <c r="D198" s="301"/>
      <c r="E198" s="265">
        <f>SUM(E194:E197)</f>
        <v>3520</v>
      </c>
      <c r="F198" s="229">
        <f>SUM(F194:F197)</f>
        <v>6738</v>
      </c>
      <c r="G198" s="229">
        <f>SUM(G194:G197)</f>
        <v>10258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02"/>
      <c r="D199" s="303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04"/>
      <c r="D200" s="305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306">
        <v>35</v>
      </c>
      <c r="D201" s="307"/>
      <c r="E201" s="264">
        <f>C201+D201</f>
        <v>35</v>
      </c>
      <c r="F201" s="224"/>
      <c r="G201" s="231">
        <f>E201+F201</f>
        <v>35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306">
        <v>35</v>
      </c>
      <c r="D202" s="307"/>
      <c r="E202" s="264">
        <f>C202+D202</f>
        <v>35</v>
      </c>
      <c r="F202" s="340"/>
      <c r="G202" s="231">
        <f>E202+F202</f>
        <v>35</v>
      </c>
      <c r="H202" s="43"/>
      <c r="I202" s="43"/>
      <c r="J202" s="136"/>
      <c r="K202" s="136"/>
    </row>
    <row r="203" spans="1:11">
      <c r="A203" s="42"/>
      <c r="B203" s="118" t="s">
        <v>90</v>
      </c>
      <c r="C203" s="306">
        <v>123</v>
      </c>
      <c r="D203" s="305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04"/>
      <c r="D204" s="305"/>
      <c r="E204" s="36"/>
      <c r="F204" s="270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300">
        <v>4305</v>
      </c>
      <c r="D205" s="308"/>
      <c r="E205" s="260">
        <f>E201*E203</f>
        <v>4305</v>
      </c>
      <c r="F205" s="260">
        <f>G201*F203</f>
        <v>8505</v>
      </c>
      <c r="G205" s="224">
        <f>G201*G203</f>
        <v>12810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309">
        <v>0.81765389082462259</v>
      </c>
      <c r="D206" s="305"/>
      <c r="E206" s="266">
        <f>IFERROR(E198/E205,"0")</f>
        <v>0.81765389082462259</v>
      </c>
      <c r="F206" s="337">
        <f>IFERROR(F198/F205,"")</f>
        <v>0.7922398589065256</v>
      </c>
      <c r="G206" s="233">
        <f>G198/G205</f>
        <v>0.80078064012490247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309">
        <v>0.81765389082462259</v>
      </c>
      <c r="D207" s="305"/>
      <c r="E207" s="266">
        <f>IFERROR((E194+E195)/E205,"0")</f>
        <v>0.81765389082462259</v>
      </c>
      <c r="F207" s="337">
        <f>IFERROR(((F194+F195)/F205),"")</f>
        <v>0.7922398589065256</v>
      </c>
      <c r="G207" s="233">
        <f>(G194+G195)/G205</f>
        <v>0.80078064012490247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309">
        <v>1</v>
      </c>
      <c r="D208" s="305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91"/>
      <c r="D209" s="291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C210" s="294"/>
      <c r="D210" s="294"/>
      <c r="F210" s="51" t="s">
        <v>305</v>
      </c>
      <c r="G210" s="234"/>
    </row>
    <row r="211" spans="1:11">
      <c r="C211" s="294"/>
      <c r="D211" s="294"/>
      <c r="F211" s="51" t="s">
        <v>306</v>
      </c>
      <c r="G211" s="234"/>
    </row>
    <row r="212" spans="1:11">
      <c r="C212" s="294"/>
      <c r="D212" s="294"/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13" priority="2" stopIfTrue="1" operator="equal">
      <formula>0</formula>
    </cfRule>
  </conditionalFormatting>
  <conditionalFormatting sqref="C2">
    <cfRule type="cellIs" dxfId="1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P213"/>
  <sheetViews>
    <sheetView showGridLines="0" zoomScaleNormal="100" workbookViewId="0">
      <pane xSplit="2" ySplit="11" topLeftCell="C201" activePane="bottomRight" state="frozen"/>
      <selection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413</v>
      </c>
      <c r="D2" s="263"/>
      <c r="E2" s="25"/>
    </row>
    <row r="3" spans="1:16">
      <c r="A3" s="24"/>
      <c r="B3" s="52" t="s">
        <v>185</v>
      </c>
      <c r="C3" s="272">
        <f>'[12]Sch A pg 1'!C39</f>
        <v>42320</v>
      </c>
      <c r="D3" s="25"/>
      <c r="E3" s="163"/>
    </row>
    <row r="4" spans="1:16">
      <c r="A4" s="24"/>
      <c r="B4" s="164" t="s">
        <v>186</v>
      </c>
      <c r="C4" s="165">
        <f>'[12]Sch A pg 1'!G39</f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404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v>281328.62</v>
      </c>
      <c r="D12" s="273">
        <v>0</v>
      </c>
      <c r="E12" s="259">
        <f>SUM(C12:D12)</f>
        <v>281328.62</v>
      </c>
      <c r="F12" s="183">
        <v>0</v>
      </c>
      <c r="G12" s="180">
        <f>IF(ISERROR(E12+F12)," ",(E12+F12))</f>
        <v>281328.62</v>
      </c>
      <c r="H12" s="181">
        <f t="shared" ref="H12:H17" si="0">IF(ISERROR(G12/$G$17),"",(G12/$G$17))</f>
        <v>1</v>
      </c>
      <c r="J12" s="246" t="s">
        <v>346</v>
      </c>
      <c r="K12" s="247">
        <f>G17</f>
        <v>281328.62</v>
      </c>
      <c r="M12" s="237">
        <f>IFERROR(G12/G$194,0)</f>
        <v>168.25874401913876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v>0</v>
      </c>
      <c r="D13" s="273"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394288.88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v>0</v>
      </c>
      <c r="D14" s="273"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1672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v>0</v>
      </c>
      <c r="D15" s="273"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8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v>0</v>
      </c>
      <c r="D16" s="273">
        <v>0</v>
      </c>
      <c r="E16" s="259">
        <f t="shared" si="1"/>
        <v>0</v>
      </c>
      <c r="F16" s="183">
        <v>0</v>
      </c>
      <c r="G16" s="183">
        <f>IF(ISERROR(E16+F16),"",(E16+F16))</f>
        <v>0</v>
      </c>
      <c r="H16" s="184">
        <f t="shared" si="0"/>
        <v>0</v>
      </c>
      <c r="J16" s="248" t="s">
        <v>350</v>
      </c>
      <c r="K16" s="249">
        <f>G205</f>
        <v>1856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v>281328.62</v>
      </c>
      <c r="D17" s="273">
        <v>0</v>
      </c>
      <c r="E17" s="183">
        <f>SUM(E12:E16)</f>
        <v>281328.62</v>
      </c>
      <c r="F17" s="183">
        <f>SUM(F12:F16)</f>
        <v>0</v>
      </c>
      <c r="G17" s="183">
        <f>IF(ISERROR(E17+F17),"",(E17+F17))</f>
        <v>281328.62</v>
      </c>
      <c r="H17" s="184">
        <f t="shared" si="0"/>
        <v>1</v>
      </c>
      <c r="J17" s="248"/>
      <c r="K17" s="249"/>
      <c r="M17" s="237">
        <f>IFERROR(G17/G$198,0)</f>
        <v>168.25874401913876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13872</v>
      </c>
    </row>
    <row r="19" spans="1:14">
      <c r="A19" s="31" t="s">
        <v>336</v>
      </c>
      <c r="B19" s="187" t="s">
        <v>157</v>
      </c>
      <c r="C19" s="168"/>
      <c r="D19" s="25"/>
      <c r="E19"/>
      <c r="F19"/>
      <c r="G19" s="25"/>
      <c r="J19" s="250" t="s">
        <v>309</v>
      </c>
      <c r="K19" s="251">
        <f>K183</f>
        <v>13154</v>
      </c>
    </row>
    <row r="20" spans="1:14">
      <c r="A20" s="188" t="s">
        <v>197</v>
      </c>
      <c r="B20" s="164" t="s">
        <v>19</v>
      </c>
      <c r="E20"/>
      <c r="F20"/>
    </row>
    <row r="21" spans="1:14" s="43" customFormat="1">
      <c r="A21" s="130" t="s">
        <v>198</v>
      </c>
      <c r="B21" s="116" t="s">
        <v>20</v>
      </c>
      <c r="C21" s="273">
        <v>7458.81</v>
      </c>
      <c r="D21" s="273">
        <v>0</v>
      </c>
      <c r="E21" s="259">
        <f t="shared" ref="E21:E56" si="2">SUM(C21:D21)</f>
        <v>7458.81</v>
      </c>
      <c r="F21" s="258">
        <v>0</v>
      </c>
      <c r="G21" s="180">
        <f t="shared" ref="G21:G57" si="3">IF(ISERROR(E21+F21),"",(E21+F21))</f>
        <v>7458.81</v>
      </c>
      <c r="H21" s="181">
        <f>IF(ISERROR(G21/$G$183),"",(G21/$G$183))</f>
        <v>1.8917119853849289E-2</v>
      </c>
      <c r="J21" s="261">
        <v>775</v>
      </c>
      <c r="K21" s="261">
        <v>249</v>
      </c>
      <c r="M21" s="237">
        <f>IFERROR(G21/G$198,0)</f>
        <v>4.4610107655502391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v>16288.25</v>
      </c>
      <c r="D22" s="273">
        <v>0</v>
      </c>
      <c r="E22" s="259">
        <f t="shared" si="2"/>
        <v>16288.25</v>
      </c>
      <c r="F22" s="183">
        <v>0</v>
      </c>
      <c r="G22" s="183">
        <f t="shared" si="3"/>
        <v>16288.25</v>
      </c>
      <c r="H22" s="181">
        <f t="shared" ref="H22:H57" si="4">IF(ISERROR(G22/$G$183),"",(G22/$G$183))</f>
        <v>4.1310447304524538E-2</v>
      </c>
      <c r="J22" s="189">
        <v>1300</v>
      </c>
      <c r="K22" s="189">
        <v>1300</v>
      </c>
      <c r="M22" s="237">
        <f t="shared" ref="M22:M57" si="5">IFERROR(G22/G$198,0)</f>
        <v>9.7417763157894743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v>6196.57</v>
      </c>
      <c r="D23" s="273">
        <v>0</v>
      </c>
      <c r="E23" s="259">
        <f t="shared" si="2"/>
        <v>6196.57</v>
      </c>
      <c r="F23" s="183">
        <v>0</v>
      </c>
      <c r="G23" s="183">
        <f t="shared" si="3"/>
        <v>6196.57</v>
      </c>
      <c r="H23" s="181">
        <f t="shared" si="4"/>
        <v>1.571581222376852E-2</v>
      </c>
      <c r="J23" s="189">
        <v>560</v>
      </c>
      <c r="K23" s="189">
        <v>560</v>
      </c>
      <c r="M23" s="237">
        <f t="shared" si="5"/>
        <v>3.7060825358851672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v>41392.42</v>
      </c>
      <c r="D24" s="273">
        <v>0</v>
      </c>
      <c r="E24" s="259">
        <f t="shared" si="2"/>
        <v>41392.42</v>
      </c>
      <c r="F24" s="183">
        <v>0</v>
      </c>
      <c r="G24" s="183">
        <f t="shared" si="3"/>
        <v>41392.42</v>
      </c>
      <c r="H24" s="181">
        <f t="shared" si="4"/>
        <v>0.1049799324799624</v>
      </c>
      <c r="J24" s="136"/>
      <c r="K24" s="136"/>
      <c r="M24" s="237">
        <f t="shared" si="5"/>
        <v>24.756232057416266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v>0</v>
      </c>
      <c r="D25" s="273"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v>0</v>
      </c>
      <c r="D26" s="273">
        <v>0</v>
      </c>
      <c r="E26" s="259">
        <f t="shared" si="2"/>
        <v>0</v>
      </c>
      <c r="F26" s="183">
        <v>0</v>
      </c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v>0</v>
      </c>
      <c r="D27" s="273">
        <v>0</v>
      </c>
      <c r="E27" s="259">
        <f t="shared" si="2"/>
        <v>0</v>
      </c>
      <c r="F27" s="183">
        <v>0</v>
      </c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v>45</v>
      </c>
      <c r="D28" s="273">
        <v>0</v>
      </c>
      <c r="E28" s="259">
        <f t="shared" si="2"/>
        <v>45</v>
      </c>
      <c r="F28" s="183">
        <v>0</v>
      </c>
      <c r="G28" s="183">
        <f t="shared" si="3"/>
        <v>45</v>
      </c>
      <c r="H28" s="181">
        <f t="shared" si="4"/>
        <v>1.1412951843835921E-4</v>
      </c>
      <c r="J28" s="136"/>
      <c r="K28" s="136"/>
      <c r="M28" s="237">
        <f t="shared" si="5"/>
        <v>2.6913875598086126E-2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v>1584.99</v>
      </c>
      <c r="D29" s="273">
        <v>0</v>
      </c>
      <c r="E29" s="259">
        <f t="shared" si="2"/>
        <v>1584.99</v>
      </c>
      <c r="F29" s="183">
        <v>0</v>
      </c>
      <c r="G29" s="183">
        <f t="shared" si="3"/>
        <v>1584.99</v>
      </c>
      <c r="H29" s="181">
        <f t="shared" si="4"/>
        <v>4.0198698984358879E-3</v>
      </c>
      <c r="J29" s="136"/>
      <c r="K29" s="136"/>
      <c r="M29" s="237">
        <f t="shared" si="5"/>
        <v>0.94796052631578953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v>893.8</v>
      </c>
      <c r="D30" s="273">
        <v>0</v>
      </c>
      <c r="E30" s="259">
        <f t="shared" si="2"/>
        <v>893.8</v>
      </c>
      <c r="F30" s="183">
        <v>0</v>
      </c>
      <c r="G30" s="183">
        <f t="shared" si="3"/>
        <v>893.8</v>
      </c>
      <c r="H30" s="181">
        <f t="shared" si="4"/>
        <v>2.2668658573378989E-3</v>
      </c>
      <c r="J30" s="136"/>
      <c r="K30" s="136"/>
      <c r="M30" s="237">
        <f t="shared" si="5"/>
        <v>0.53456937799043058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v>1938</v>
      </c>
      <c r="D31" s="273">
        <v>0</v>
      </c>
      <c r="E31" s="259">
        <f t="shared" si="2"/>
        <v>1938</v>
      </c>
      <c r="F31" s="183">
        <v>0</v>
      </c>
      <c r="G31" s="183">
        <f t="shared" si="3"/>
        <v>1938</v>
      </c>
      <c r="H31" s="181">
        <f t="shared" si="4"/>
        <v>4.9151779274120028E-3</v>
      </c>
      <c r="J31" s="136"/>
      <c r="K31" s="136"/>
      <c r="M31" s="237">
        <f t="shared" si="5"/>
        <v>1.1590909090909092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v>351</v>
      </c>
      <c r="D32" s="273">
        <v>0</v>
      </c>
      <c r="E32" s="259">
        <f t="shared" si="2"/>
        <v>351</v>
      </c>
      <c r="F32" s="183">
        <v>0</v>
      </c>
      <c r="G32" s="183">
        <f t="shared" si="3"/>
        <v>351</v>
      </c>
      <c r="H32" s="181">
        <f t="shared" si="4"/>
        <v>8.9021024381920181E-4</v>
      </c>
      <c r="J32" s="136"/>
      <c r="K32" s="136"/>
      <c r="M32" s="237">
        <f t="shared" si="5"/>
        <v>0.20992822966507177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v>0</v>
      </c>
      <c r="D33" s="273"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v>514</v>
      </c>
      <c r="D34" s="273">
        <v>0</v>
      </c>
      <c r="E34" s="259">
        <f t="shared" si="2"/>
        <v>514</v>
      </c>
      <c r="F34" s="183">
        <v>0</v>
      </c>
      <c r="G34" s="183">
        <f t="shared" si="3"/>
        <v>514</v>
      </c>
      <c r="H34" s="181">
        <f t="shared" si="4"/>
        <v>1.3036127217181473E-3</v>
      </c>
      <c r="J34" s="136"/>
      <c r="K34" s="136"/>
      <c r="M34" s="237">
        <f t="shared" si="5"/>
        <v>0.30741626794258375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v>0</v>
      </c>
      <c r="D35" s="273"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v>27777.78</v>
      </c>
      <c r="D36" s="273">
        <v>0</v>
      </c>
      <c r="E36" s="259">
        <f t="shared" si="2"/>
        <v>27777.78</v>
      </c>
      <c r="F36" s="183">
        <v>0</v>
      </c>
      <c r="G36" s="183">
        <f t="shared" si="3"/>
        <v>27777.78</v>
      </c>
      <c r="H36" s="181">
        <f t="shared" si="4"/>
        <v>7.0450325659704119E-2</v>
      </c>
      <c r="J36" s="136"/>
      <c r="K36" s="136"/>
      <c r="M36" s="237">
        <f t="shared" si="5"/>
        <v>16.613504784688995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v>14145.12</v>
      </c>
      <c r="D37" s="273">
        <v>0</v>
      </c>
      <c r="E37" s="259">
        <f t="shared" si="2"/>
        <v>14145.12</v>
      </c>
      <c r="F37" s="183">
        <v>0</v>
      </c>
      <c r="G37" s="183">
        <f t="shared" si="3"/>
        <v>14145.12</v>
      </c>
      <c r="H37" s="181">
        <f t="shared" si="4"/>
        <v>3.5875016307840082E-2</v>
      </c>
      <c r="J37" s="136"/>
      <c r="K37" s="136"/>
      <c r="M37" s="237">
        <f t="shared" si="5"/>
        <v>8.4600000000000009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v>0</v>
      </c>
      <c r="D38" s="273"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v>0</v>
      </c>
      <c r="D39" s="273"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v>21520</v>
      </c>
      <c r="D40" s="273">
        <v>-21520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v>0</v>
      </c>
      <c r="D41" s="273"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v>4198.1099999999997</v>
      </c>
      <c r="D42" s="273">
        <v>0</v>
      </c>
      <c r="E42" s="259">
        <f t="shared" si="2"/>
        <v>4198.1099999999997</v>
      </c>
      <c r="F42" s="183">
        <v>0</v>
      </c>
      <c r="G42" s="183">
        <f t="shared" si="3"/>
        <v>4198.1099999999997</v>
      </c>
      <c r="H42" s="181">
        <f t="shared" si="4"/>
        <v>1.064729494780578E-2</v>
      </c>
      <c r="J42" s="136"/>
      <c r="K42" s="136"/>
      <c r="M42" s="237">
        <f t="shared" si="5"/>
        <v>2.5108313397129183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v>3257.29</v>
      </c>
      <c r="D43" s="273">
        <v>0</v>
      </c>
      <c r="E43" s="259">
        <f t="shared" si="2"/>
        <v>3257.29</v>
      </c>
      <c r="F43" s="183">
        <v>0</v>
      </c>
      <c r="G43" s="183">
        <f t="shared" si="3"/>
        <v>3257.29</v>
      </c>
      <c r="H43" s="181">
        <f t="shared" si="4"/>
        <v>8.2611764247574014E-3</v>
      </c>
      <c r="J43" s="136"/>
      <c r="K43" s="136"/>
      <c r="M43" s="237">
        <f t="shared" si="5"/>
        <v>1.94813995215311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v>0</v>
      </c>
      <c r="D44" s="273"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v>0</v>
      </c>
      <c r="D45" s="273"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v>1617.27</v>
      </c>
      <c r="D46" s="273">
        <v>-1617.27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v>0</v>
      </c>
      <c r="D47" s="273"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v>0</v>
      </c>
      <c r="D48" s="273"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v>0</v>
      </c>
      <c r="D49" s="273"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v>175</v>
      </c>
      <c r="D50" s="273">
        <v>0</v>
      </c>
      <c r="E50" s="259">
        <f t="shared" si="2"/>
        <v>175</v>
      </c>
      <c r="F50" s="183">
        <v>0</v>
      </c>
      <c r="G50" s="183">
        <f t="shared" si="3"/>
        <v>175</v>
      </c>
      <c r="H50" s="181">
        <f t="shared" si="4"/>
        <v>4.438370161491747E-4</v>
      </c>
      <c r="J50" s="136"/>
      <c r="K50" s="136"/>
      <c r="M50" s="237">
        <f t="shared" si="5"/>
        <v>0.10466507177033493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v>0</v>
      </c>
      <c r="D51" s="273"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v>0</v>
      </c>
      <c r="D52" s="273">
        <v>0</v>
      </c>
      <c r="E52" s="259">
        <f t="shared" si="2"/>
        <v>0</v>
      </c>
      <c r="F52" s="183">
        <v>0</v>
      </c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v>125</v>
      </c>
      <c r="D53" s="273">
        <v>0</v>
      </c>
      <c r="E53" s="259">
        <f t="shared" si="2"/>
        <v>125</v>
      </c>
      <c r="F53" s="183">
        <v>0</v>
      </c>
      <c r="G53" s="183">
        <f t="shared" si="3"/>
        <v>125</v>
      </c>
      <c r="H53" s="181">
        <f t="shared" si="4"/>
        <v>3.1702644010655334E-4</v>
      </c>
      <c r="J53" s="136"/>
      <c r="K53" s="136"/>
      <c r="M53" s="237">
        <f t="shared" si="5"/>
        <v>7.4760765550239236E-2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v>81</v>
      </c>
      <c r="D54" s="273">
        <v>0</v>
      </c>
      <c r="E54" s="259">
        <f t="shared" si="2"/>
        <v>81</v>
      </c>
      <c r="F54" s="183">
        <v>0</v>
      </c>
      <c r="G54" s="183">
        <f t="shared" si="3"/>
        <v>81</v>
      </c>
      <c r="H54" s="181">
        <f t="shared" si="4"/>
        <v>2.0543313318904658E-4</v>
      </c>
      <c r="J54" s="136"/>
      <c r="K54" s="136"/>
      <c r="M54" s="237">
        <f t="shared" si="5"/>
        <v>4.8444976076555027E-2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v>90</v>
      </c>
      <c r="D55" s="273">
        <v>0</v>
      </c>
      <c r="E55" s="259">
        <f t="shared" si="2"/>
        <v>90</v>
      </c>
      <c r="F55" s="183">
        <v>0</v>
      </c>
      <c r="G55" s="183">
        <f t="shared" si="3"/>
        <v>90</v>
      </c>
      <c r="H55" s="181">
        <f t="shared" si="4"/>
        <v>2.2825903687671842E-4</v>
      </c>
      <c r="J55" s="136"/>
      <c r="K55" s="136"/>
      <c r="M55" s="237">
        <f t="shared" si="5"/>
        <v>5.3827751196172252E-2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v>0</v>
      </c>
      <c r="D56" s="273"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v>149649.40999999997</v>
      </c>
      <c r="D57" s="273">
        <v>-23137.27</v>
      </c>
      <c r="E57" s="183">
        <f>SUM(E21:E56)</f>
        <v>126512.14</v>
      </c>
      <c r="F57" s="183">
        <f>SUM(F21:F56)</f>
        <v>0</v>
      </c>
      <c r="G57" s="183">
        <f t="shared" si="3"/>
        <v>126512.14</v>
      </c>
      <c r="H57" s="181">
        <f t="shared" si="4"/>
        <v>0.32086154699569513</v>
      </c>
      <c r="J57" s="136"/>
      <c r="K57" s="136"/>
      <c r="M57" s="237">
        <f t="shared" si="5"/>
        <v>75.665155502392338</v>
      </c>
      <c r="N57" s="243">
        <f>SUMMARY!M57</f>
        <v>39.672950949912064</v>
      </c>
      <c r="O57" s="238">
        <f>M57/N57-1</f>
        <v>0.90722277246079308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v>42500</v>
      </c>
      <c r="D60" s="273">
        <v>0</v>
      </c>
      <c r="E60" s="259">
        <f t="shared" ref="E60:E76" si="6">SUM(C60:D60)</f>
        <v>42500</v>
      </c>
      <c r="F60" s="183">
        <v>0</v>
      </c>
      <c r="G60" s="179">
        <f>IF(ISERROR(E60+F60),"",(E60+F60))</f>
        <v>42500</v>
      </c>
      <c r="H60" s="181">
        <f>IF(ISERROR(G60/$G$183),"",(G60/$G$183))</f>
        <v>0.10778898963622814</v>
      </c>
      <c r="J60" s="136"/>
      <c r="K60" s="136"/>
      <c r="M60" s="237">
        <f>IFERROR(G60/G$198,0)</f>
        <v>25.418660287081341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v>0</v>
      </c>
      <c r="D61" s="273">
        <v>0</v>
      </c>
      <c r="E61" s="259">
        <f t="shared" si="6"/>
        <v>0</v>
      </c>
      <c r="F61" s="183">
        <v>0</v>
      </c>
      <c r="G61" s="179">
        <f t="shared" ref="G61:G76" si="7">IF(ISERROR(E61+F61),"",(E61+F61))</f>
        <v>0</v>
      </c>
      <c r="H61" s="181">
        <f t="shared" ref="H61:H76" si="8">IF(ISERROR(G61/$G$183),"",(G61/$G$183))</f>
        <v>0</v>
      </c>
      <c r="J61" s="136"/>
      <c r="K61" s="136"/>
      <c r="M61" s="237">
        <f t="shared" ref="M61:M77" si="9">IFERROR(G61/G$198,0)</f>
        <v>0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v>0</v>
      </c>
      <c r="D62" s="273">
        <v>0</v>
      </c>
      <c r="E62" s="259">
        <f t="shared" si="6"/>
        <v>0</v>
      </c>
      <c r="F62" s="183">
        <v>0</v>
      </c>
      <c r="G62" s="179">
        <f t="shared" si="7"/>
        <v>0</v>
      </c>
      <c r="H62" s="181">
        <f t="shared" si="8"/>
        <v>0</v>
      </c>
      <c r="J62" s="136"/>
      <c r="K62" s="136"/>
      <c r="M62" s="237">
        <f t="shared" si="9"/>
        <v>0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v>0</v>
      </c>
      <c r="D63" s="273">
        <v>0</v>
      </c>
      <c r="E63" s="259">
        <f t="shared" si="6"/>
        <v>0</v>
      </c>
      <c r="F63" s="183">
        <v>0</v>
      </c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v>7631.65</v>
      </c>
      <c r="D64" s="273">
        <v>0</v>
      </c>
      <c r="E64" s="259">
        <f t="shared" si="6"/>
        <v>7631.65</v>
      </c>
      <c r="F64" s="183">
        <v>0</v>
      </c>
      <c r="G64" s="179">
        <f t="shared" si="7"/>
        <v>7631.65</v>
      </c>
      <c r="H64" s="181">
        <f t="shared" si="8"/>
        <v>1.9355478653113423E-2</v>
      </c>
      <c r="J64" s="136"/>
      <c r="K64" s="136"/>
      <c r="M64" s="237">
        <f t="shared" si="9"/>
        <v>4.5643839712918659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v>0</v>
      </c>
      <c r="D65" s="273">
        <v>0</v>
      </c>
      <c r="E65" s="259">
        <f t="shared" si="6"/>
        <v>0</v>
      </c>
      <c r="F65" s="183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v>0</v>
      </c>
      <c r="D66" s="273">
        <v>0</v>
      </c>
      <c r="E66" s="259">
        <f t="shared" si="6"/>
        <v>0</v>
      </c>
      <c r="F66" s="183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v>640</v>
      </c>
      <c r="D67" s="273">
        <v>0</v>
      </c>
      <c r="E67" s="259">
        <f t="shared" si="6"/>
        <v>640</v>
      </c>
      <c r="F67" s="183">
        <v>0</v>
      </c>
      <c r="G67" s="179">
        <f t="shared" si="7"/>
        <v>640</v>
      </c>
      <c r="H67" s="181">
        <f t="shared" si="8"/>
        <v>1.6231753733455532E-3</v>
      </c>
      <c r="J67" s="136"/>
      <c r="K67" s="136"/>
      <c r="M67" s="237">
        <f t="shared" si="9"/>
        <v>0.38277511961722488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v>0</v>
      </c>
      <c r="D68" s="273">
        <v>0</v>
      </c>
      <c r="E68" s="259">
        <f t="shared" si="6"/>
        <v>0</v>
      </c>
      <c r="F68" s="183">
        <v>0</v>
      </c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v>384</v>
      </c>
      <c r="D69" s="273">
        <v>0</v>
      </c>
      <c r="E69" s="259">
        <f t="shared" si="6"/>
        <v>384</v>
      </c>
      <c r="F69" s="183">
        <v>0</v>
      </c>
      <c r="G69" s="179">
        <f t="shared" si="7"/>
        <v>384</v>
      </c>
      <c r="H69" s="181">
        <f t="shared" si="8"/>
        <v>9.7390522400733184E-4</v>
      </c>
      <c r="J69" s="136"/>
      <c r="K69" s="136"/>
      <c r="M69" s="237">
        <f t="shared" si="9"/>
        <v>0.22966507177033493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v>4918</v>
      </c>
      <c r="D70" s="273">
        <v>0</v>
      </c>
      <c r="E70" s="259">
        <f t="shared" si="6"/>
        <v>4918</v>
      </c>
      <c r="F70" s="183">
        <v>0</v>
      </c>
      <c r="G70" s="179">
        <f t="shared" si="7"/>
        <v>4918</v>
      </c>
      <c r="H70" s="181">
        <f t="shared" si="8"/>
        <v>1.2473088259552234E-2</v>
      </c>
      <c r="J70" s="136"/>
      <c r="K70" s="136"/>
      <c r="M70" s="237">
        <f t="shared" si="9"/>
        <v>2.9413875598086126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v>0</v>
      </c>
      <c r="D71" s="273">
        <v>0</v>
      </c>
      <c r="E71" s="259">
        <f t="shared" si="6"/>
        <v>0</v>
      </c>
      <c r="F71" s="183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v>700</v>
      </c>
      <c r="D72" s="273">
        <v>0</v>
      </c>
      <c r="E72" s="259">
        <f t="shared" si="6"/>
        <v>700</v>
      </c>
      <c r="F72" s="183">
        <v>0</v>
      </c>
      <c r="G72" s="179">
        <f t="shared" si="7"/>
        <v>700</v>
      </c>
      <c r="H72" s="181">
        <f t="shared" si="8"/>
        <v>1.7753480645966988E-3</v>
      </c>
      <c r="J72" s="136"/>
      <c r="K72" s="136"/>
      <c r="M72" s="237">
        <f t="shared" si="9"/>
        <v>0.41866028708133973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v>0</v>
      </c>
      <c r="D73" s="273">
        <v>0</v>
      </c>
      <c r="E73" s="259">
        <f t="shared" si="6"/>
        <v>0</v>
      </c>
      <c r="F73" s="183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v>0</v>
      </c>
      <c r="D74" s="273">
        <v>0</v>
      </c>
      <c r="E74" s="259">
        <f t="shared" si="6"/>
        <v>0</v>
      </c>
      <c r="F74" s="183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v>-1400</v>
      </c>
      <c r="D75" s="273">
        <v>0</v>
      </c>
      <c r="E75" s="259">
        <f t="shared" si="6"/>
        <v>-1400</v>
      </c>
      <c r="F75" s="183">
        <v>0</v>
      </c>
      <c r="G75" s="179">
        <f t="shared" si="7"/>
        <v>-1400</v>
      </c>
      <c r="H75" s="181">
        <f t="shared" si="8"/>
        <v>-3.5506961291933976E-3</v>
      </c>
      <c r="J75" s="136"/>
      <c r="K75" s="136"/>
      <c r="M75" s="237">
        <f t="shared" si="9"/>
        <v>-0.83732057416267947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v>0</v>
      </c>
      <c r="D76" s="273">
        <v>0</v>
      </c>
      <c r="E76" s="259">
        <f t="shared" si="6"/>
        <v>0</v>
      </c>
      <c r="F76" s="183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v>55373.65</v>
      </c>
      <c r="D77" s="273">
        <v>0</v>
      </c>
      <c r="E77" s="182">
        <f>SUM(E60:E76)</f>
        <v>55373.65</v>
      </c>
      <c r="F77" s="182">
        <f>SUM(F60:F76)</f>
        <v>0</v>
      </c>
      <c r="G77" s="183">
        <f>IF(ISERROR(E77+F77),"",(E77+F77))</f>
        <v>55373.65</v>
      </c>
      <c r="H77" s="181">
        <f>IF(ISERROR(G77/$G$183),"",(G77/$G$183))</f>
        <v>0.14043928908164999</v>
      </c>
      <c r="J77" s="136"/>
      <c r="K77" s="136"/>
      <c r="M77" s="237">
        <f t="shared" si="9"/>
        <v>33.118211722488041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v>0</v>
      </c>
      <c r="D80" s="273">
        <v>0</v>
      </c>
      <c r="E80" s="259">
        <f t="shared" ref="E80:E91" si="10">SUM(C80:D80)</f>
        <v>0</v>
      </c>
      <c r="F80" s="183">
        <v>0</v>
      </c>
      <c r="G80" s="180">
        <f>IF(ISERROR(E80+F80),"",(E80+F80))</f>
        <v>0</v>
      </c>
      <c r="H80" s="181">
        <f t="shared" ref="H80:H92" si="11">IF(ISERROR(G80/$G$183),"",(G80/$G$183))</f>
        <v>0</v>
      </c>
      <c r="J80" s="261">
        <v>0</v>
      </c>
      <c r="K80" s="261">
        <v>0</v>
      </c>
      <c r="M80" s="237">
        <f t="shared" ref="M80:M92" si="12">IFERROR(G80/G$198,0)</f>
        <v>0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v>0</v>
      </c>
      <c r="D81" s="273">
        <v>0</v>
      </c>
      <c r="E81" s="259">
        <f t="shared" si="10"/>
        <v>0</v>
      </c>
      <c r="F81" s="183">
        <v>0</v>
      </c>
      <c r="G81" s="183">
        <f>IF(ISERROR(E81+F81),"",(E81+F81))</f>
        <v>0</v>
      </c>
      <c r="H81" s="181">
        <f t="shared" si="11"/>
        <v>0</v>
      </c>
      <c r="J81" s="136"/>
      <c r="K81" s="136"/>
      <c r="M81" s="237">
        <f t="shared" si="12"/>
        <v>0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v>2700</v>
      </c>
      <c r="D82" s="273">
        <v>0</v>
      </c>
      <c r="E82" s="259">
        <f t="shared" si="10"/>
        <v>2700</v>
      </c>
      <c r="F82" s="183">
        <v>0</v>
      </c>
      <c r="G82" s="183">
        <f>IF(ISERROR(E82+F82),"",(E82+F82))</f>
        <v>2700</v>
      </c>
      <c r="H82" s="181">
        <f t="shared" si="11"/>
        <v>6.8477711063015525E-3</v>
      </c>
      <c r="J82" s="136"/>
      <c r="K82" s="136"/>
      <c r="M82" s="237">
        <f t="shared" si="12"/>
        <v>1.6148325358851674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v>0</v>
      </c>
      <c r="D83" s="273">
        <v>0</v>
      </c>
      <c r="E83" s="259">
        <f t="shared" si="10"/>
        <v>0</v>
      </c>
      <c r="F83" s="183">
        <v>0</v>
      </c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v>0</v>
      </c>
      <c r="D84" s="273">
        <v>0</v>
      </c>
      <c r="E84" s="259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v>300</v>
      </c>
      <c r="D85" s="273">
        <v>0</v>
      </c>
      <c r="E85" s="259">
        <f t="shared" si="10"/>
        <v>300</v>
      </c>
      <c r="F85" s="183">
        <v>0</v>
      </c>
      <c r="G85" s="183">
        <f t="shared" si="13"/>
        <v>300</v>
      </c>
      <c r="H85" s="181">
        <f t="shared" si="11"/>
        <v>7.6086345625572805E-4</v>
      </c>
      <c r="J85" s="136"/>
      <c r="K85" s="136"/>
      <c r="M85" s="237">
        <f t="shared" si="12"/>
        <v>0.17942583732057416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v>2017</v>
      </c>
      <c r="D86" s="273">
        <v>0</v>
      </c>
      <c r="E86" s="259">
        <f t="shared" si="10"/>
        <v>2017</v>
      </c>
      <c r="F86" s="183">
        <v>0</v>
      </c>
      <c r="G86" s="183">
        <f t="shared" si="13"/>
        <v>2017</v>
      </c>
      <c r="H86" s="181">
        <f t="shared" si="11"/>
        <v>5.1155386375593449E-3</v>
      </c>
      <c r="J86" s="136"/>
      <c r="K86" s="136"/>
      <c r="M86" s="237">
        <f t="shared" si="12"/>
        <v>1.2063397129186604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v>0</v>
      </c>
      <c r="D87" s="273">
        <v>0</v>
      </c>
      <c r="E87" s="259">
        <f t="shared" si="10"/>
        <v>0</v>
      </c>
      <c r="F87" s="183">
        <v>0</v>
      </c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v>0</v>
      </c>
      <c r="D88" s="273">
        <v>0</v>
      </c>
      <c r="E88" s="259">
        <f t="shared" si="10"/>
        <v>0</v>
      </c>
      <c r="F88" s="183">
        <v>0</v>
      </c>
      <c r="G88" s="183">
        <f t="shared" si="13"/>
        <v>0</v>
      </c>
      <c r="H88" s="181">
        <f t="shared" si="11"/>
        <v>0</v>
      </c>
      <c r="J88" s="136"/>
      <c r="K88" s="136"/>
      <c r="M88" s="237">
        <f t="shared" si="12"/>
        <v>0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v>6618.69</v>
      </c>
      <c r="D89" s="273">
        <v>0</v>
      </c>
      <c r="E89" s="259">
        <f t="shared" si="10"/>
        <v>6618.69</v>
      </c>
      <c r="F89" s="183">
        <v>0</v>
      </c>
      <c r="G89" s="183">
        <f t="shared" si="13"/>
        <v>6618.69</v>
      </c>
      <c r="H89" s="181">
        <f t="shared" si="11"/>
        <v>1.6786397830950747E-2</v>
      </c>
      <c r="J89" s="136"/>
      <c r="K89" s="136"/>
      <c r="M89" s="237">
        <f t="shared" si="12"/>
        <v>3.958546650717703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v>0</v>
      </c>
      <c r="D90" s="273"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v>0</v>
      </c>
      <c r="D91" s="273">
        <v>0</v>
      </c>
      <c r="E91" s="259">
        <f t="shared" si="10"/>
        <v>0</v>
      </c>
      <c r="F91" s="183">
        <v>0</v>
      </c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v>11635.689999999999</v>
      </c>
      <c r="D92" s="273">
        <v>0</v>
      </c>
      <c r="E92" s="183">
        <f>SUM(E80:E91)</f>
        <v>11635.689999999999</v>
      </c>
      <c r="F92" s="183">
        <f>SUM(F80:F91)</f>
        <v>0</v>
      </c>
      <c r="G92" s="183">
        <f>IF(ISERROR(E92+F92),"",(E92+F92))</f>
        <v>11635.689999999999</v>
      </c>
      <c r="H92" s="181">
        <f t="shared" si="11"/>
        <v>2.951057103106737E-2</v>
      </c>
      <c r="J92" s="136"/>
      <c r="K92" s="136"/>
      <c r="M92" s="237">
        <f t="shared" si="12"/>
        <v>6.9591447368421049</v>
      </c>
      <c r="N92" s="243">
        <f>SUMMARY!M92</f>
        <v>10.36414021133649</v>
      </c>
      <c r="O92" s="238">
        <f>M92/N92-1</f>
        <v>-0.32853622250014891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v>979.63</v>
      </c>
      <c r="D95" s="273">
        <v>0</v>
      </c>
      <c r="E95" s="259">
        <f t="shared" ref="E95:E100" si="14">SUM(C95:D95)</f>
        <v>979.63</v>
      </c>
      <c r="F95" s="183">
        <v>0</v>
      </c>
      <c r="G95" s="180">
        <f t="shared" ref="G95:G101" si="15">IF(ISERROR(E95+F95),"",(E95+F95))</f>
        <v>979.63</v>
      </c>
      <c r="H95" s="181">
        <f t="shared" ref="H95:H101" si="16">IF(ISERROR(G95/$G$183),"",(G95/$G$183))</f>
        <v>2.4845488921726626E-3</v>
      </c>
      <c r="J95" s="261">
        <v>100</v>
      </c>
      <c r="K95" s="261">
        <v>100</v>
      </c>
      <c r="M95" s="237">
        <f t="shared" ref="M95:M101" si="17">IFERROR(G95/G$198,0)</f>
        <v>0.5859031100478469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v>118</v>
      </c>
      <c r="D96" s="273">
        <v>0</v>
      </c>
      <c r="E96" s="259">
        <f t="shared" si="14"/>
        <v>118</v>
      </c>
      <c r="F96" s="183">
        <v>0</v>
      </c>
      <c r="G96" s="183">
        <f t="shared" si="15"/>
        <v>118</v>
      </c>
      <c r="H96" s="181">
        <f t="shared" si="16"/>
        <v>2.9927295946058634E-4</v>
      </c>
      <c r="J96" s="136"/>
      <c r="K96" s="136"/>
      <c r="M96" s="237">
        <f t="shared" si="17"/>
        <v>7.0574162679425831E-2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v>270</v>
      </c>
      <c r="D97" s="273">
        <v>0</v>
      </c>
      <c r="E97" s="259">
        <f t="shared" si="14"/>
        <v>270</v>
      </c>
      <c r="F97" s="183">
        <v>0</v>
      </c>
      <c r="G97" s="183">
        <f t="shared" si="15"/>
        <v>270</v>
      </c>
      <c r="H97" s="181">
        <f t="shared" si="16"/>
        <v>6.8477711063015523E-4</v>
      </c>
      <c r="J97" s="136"/>
      <c r="K97" s="136"/>
      <c r="M97" s="237">
        <f t="shared" si="17"/>
        <v>0.16148325358851676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v>19800</v>
      </c>
      <c r="D98" s="273">
        <v>0</v>
      </c>
      <c r="E98" s="259">
        <f t="shared" si="14"/>
        <v>19800</v>
      </c>
      <c r="F98" s="183">
        <v>0</v>
      </c>
      <c r="G98" s="183">
        <f t="shared" si="15"/>
        <v>19800</v>
      </c>
      <c r="H98" s="181">
        <f t="shared" si="16"/>
        <v>5.0216988112878051E-2</v>
      </c>
      <c r="J98" s="136"/>
      <c r="K98" s="136"/>
      <c r="M98" s="237">
        <f t="shared" si="17"/>
        <v>11.842105263157896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v>1800</v>
      </c>
      <c r="D99" s="273">
        <v>0</v>
      </c>
      <c r="E99" s="259">
        <f t="shared" si="14"/>
        <v>1800</v>
      </c>
      <c r="F99" s="183">
        <v>0</v>
      </c>
      <c r="G99" s="183">
        <f t="shared" si="15"/>
        <v>1800</v>
      </c>
      <c r="H99" s="181">
        <f t="shared" si="16"/>
        <v>4.5651807375343681E-3</v>
      </c>
      <c r="J99" s="136"/>
      <c r="K99" s="136"/>
      <c r="M99" s="237">
        <f t="shared" si="17"/>
        <v>1.0765550239234449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v>0</v>
      </c>
      <c r="D100" s="273">
        <v>0</v>
      </c>
      <c r="E100" s="259">
        <f t="shared" si="14"/>
        <v>0</v>
      </c>
      <c r="F100" s="183">
        <v>0</v>
      </c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v>22967.63</v>
      </c>
      <c r="D101" s="273">
        <v>0</v>
      </c>
      <c r="E101" s="183">
        <f>SUM(E95:E100)</f>
        <v>22967.63</v>
      </c>
      <c r="F101" s="183">
        <f>SUM(F95:F100)</f>
        <v>0</v>
      </c>
      <c r="G101" s="183">
        <f t="shared" si="15"/>
        <v>22967.63</v>
      </c>
      <c r="H101" s="181">
        <f t="shared" si="16"/>
        <v>5.8250767812675824E-2</v>
      </c>
      <c r="J101" s="136"/>
      <c r="K101" s="136"/>
      <c r="M101" s="237">
        <f t="shared" si="17"/>
        <v>13.736620813397129</v>
      </c>
      <c r="N101" s="243">
        <f>SUMMARY!M101</f>
        <v>14.116295917008408</v>
      </c>
      <c r="O101" s="238">
        <f>M101/N101-1</f>
        <v>-2.6896227299529452E-2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v>0</v>
      </c>
      <c r="D104" s="273">
        <v>0</v>
      </c>
      <c r="E104" s="259">
        <f t="shared" ref="E104:E109" si="18">SUM(C104:D104)</f>
        <v>0</v>
      </c>
      <c r="F104" s="183">
        <v>0</v>
      </c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v>0</v>
      </c>
      <c r="D105" s="273">
        <v>0</v>
      </c>
      <c r="E105" s="259">
        <f t="shared" si="18"/>
        <v>0</v>
      </c>
      <c r="F105" s="183">
        <v>0</v>
      </c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v>0</v>
      </c>
      <c r="D106" s="273"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v>0</v>
      </c>
      <c r="D107" s="273">
        <v>0</v>
      </c>
      <c r="E107" s="259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v>250</v>
      </c>
      <c r="D108" s="273">
        <v>0</v>
      </c>
      <c r="E108" s="259">
        <f t="shared" si="18"/>
        <v>250</v>
      </c>
      <c r="F108" s="183">
        <v>0</v>
      </c>
      <c r="G108" s="183">
        <f t="shared" si="19"/>
        <v>250</v>
      </c>
      <c r="H108" s="181">
        <f t="shared" si="20"/>
        <v>6.3405288021310669E-4</v>
      </c>
      <c r="J108" s="136"/>
      <c r="K108" s="136"/>
      <c r="M108" s="237">
        <f t="shared" si="21"/>
        <v>0.14952153110047847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v>0</v>
      </c>
      <c r="D109" s="273"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v>250</v>
      </c>
      <c r="D110" s="273">
        <v>0</v>
      </c>
      <c r="E110" s="183">
        <f>SUM(E104:E109)</f>
        <v>250</v>
      </c>
      <c r="F110" s="183">
        <f>SUM(F104:F109)</f>
        <v>0</v>
      </c>
      <c r="G110" s="183">
        <f t="shared" si="19"/>
        <v>250</v>
      </c>
      <c r="H110" s="181">
        <f t="shared" si="20"/>
        <v>6.3405288021310669E-4</v>
      </c>
      <c r="J110" s="136"/>
      <c r="K110" s="136"/>
      <c r="M110" s="237">
        <f t="shared" si="21"/>
        <v>0.14952153110047847</v>
      </c>
      <c r="N110" s="243">
        <f>SUMMARY!M110</f>
        <v>2.6822243142585545</v>
      </c>
      <c r="O110" s="238">
        <f>M110/N110-1</f>
        <v>-0.94425465077412418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v>6174.87</v>
      </c>
      <c r="D113" s="273">
        <v>0</v>
      </c>
      <c r="E113" s="259">
        <f t="shared" ref="E113:E117" si="22">SUM(C113:D113)</f>
        <v>6174.87</v>
      </c>
      <c r="F113" s="183">
        <v>0</v>
      </c>
      <c r="G113" s="180">
        <f t="shared" ref="G113:G118" si="23">IF(ISERROR(E113+F113),"",(E113+F113))</f>
        <v>6174.87</v>
      </c>
      <c r="H113" s="181">
        <f t="shared" ref="H113:H118" si="24">IF(ISERROR(G113/$G$183),"",(G113/$G$183))</f>
        <v>1.5660776433766024E-2</v>
      </c>
      <c r="J113" s="261">
        <v>686</v>
      </c>
      <c r="K113" s="261">
        <v>686</v>
      </c>
      <c r="M113" s="237">
        <f t="shared" ref="M113:M118" si="25">IFERROR(G113/G$198,0)</f>
        <v>3.6931040669856459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v>801.8</v>
      </c>
      <c r="D114" s="273">
        <v>0</v>
      </c>
      <c r="E114" s="259">
        <f t="shared" si="22"/>
        <v>801.8</v>
      </c>
      <c r="F114" s="183">
        <v>0</v>
      </c>
      <c r="G114" s="183">
        <f t="shared" si="23"/>
        <v>801.8</v>
      </c>
      <c r="H114" s="181">
        <f t="shared" si="24"/>
        <v>2.0335343974194758E-3</v>
      </c>
      <c r="J114" s="136"/>
      <c r="K114" s="136"/>
      <c r="M114" s="237">
        <f t="shared" si="25"/>
        <v>0.4795454545454545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v>350</v>
      </c>
      <c r="D115" s="273">
        <v>0</v>
      </c>
      <c r="E115" s="259">
        <f t="shared" si="22"/>
        <v>350</v>
      </c>
      <c r="F115" s="183">
        <v>0</v>
      </c>
      <c r="G115" s="183">
        <f t="shared" si="23"/>
        <v>350</v>
      </c>
      <c r="H115" s="181">
        <f t="shared" si="24"/>
        <v>8.8767403229834941E-4</v>
      </c>
      <c r="J115" s="136"/>
      <c r="K115" s="136"/>
      <c r="M115" s="237">
        <f t="shared" si="25"/>
        <v>0.20933014354066987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v>0</v>
      </c>
      <c r="D116" s="273"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v>0</v>
      </c>
      <c r="D117" s="273"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v>7326.67</v>
      </c>
      <c r="D118" s="273">
        <v>0</v>
      </c>
      <c r="E118" s="183">
        <f>SUM(E113:E117)</f>
        <v>7326.67</v>
      </c>
      <c r="F118" s="183">
        <f>SUM(F113:F117)</f>
        <v>0</v>
      </c>
      <c r="G118" s="183">
        <f t="shared" si="23"/>
        <v>7326.67</v>
      </c>
      <c r="H118" s="181">
        <f t="shared" si="24"/>
        <v>1.858198486348385E-2</v>
      </c>
      <c r="J118" s="136"/>
      <c r="K118" s="136"/>
      <c r="M118" s="237">
        <f t="shared" si="25"/>
        <v>4.3819796650717704</v>
      </c>
      <c r="N118" s="243">
        <f>SUMMARY!M118</f>
        <v>3.1676887539780583</v>
      </c>
      <c r="O118" s="238">
        <f>M118/N118-1</f>
        <v>0.38333656031350216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v>2957.65</v>
      </c>
      <c r="D121" s="273">
        <v>0</v>
      </c>
      <c r="E121" s="259">
        <f t="shared" ref="E121:E131" si="26">SUM(C121:D121)</f>
        <v>2957.65</v>
      </c>
      <c r="F121" s="183">
        <v>0</v>
      </c>
      <c r="G121" s="180">
        <f>IF(ISERROR(E121+F121),"",(E121+F121))</f>
        <v>2957.65</v>
      </c>
      <c r="H121" s="181">
        <f>IF(ISERROR(G121/$G$183),"",(G121/$G$183))</f>
        <v>7.5012260046491801E-3</v>
      </c>
      <c r="J121" s="261">
        <v>310</v>
      </c>
      <c r="K121" s="261">
        <v>118</v>
      </c>
      <c r="M121" s="237">
        <f t="shared" ref="M121:M131" si="27">IFERROR(G121/G$198,0)</f>
        <v>1.7689294258373207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v>325.88</v>
      </c>
      <c r="D122" s="273">
        <v>0</v>
      </c>
      <c r="E122" s="259">
        <f t="shared" si="26"/>
        <v>325.88</v>
      </c>
      <c r="F122" s="183">
        <v>0</v>
      </c>
      <c r="G122" s="180">
        <f t="shared" ref="G122:G131" si="28">IF(ISERROR(E122+F122),"",(E122+F122))</f>
        <v>325.88</v>
      </c>
      <c r="H122" s="181">
        <f t="shared" ref="H122:H131" si="29">IF(ISERROR(G122/$G$183),"",(G122/$G$183))</f>
        <v>8.2650061041538879E-4</v>
      </c>
      <c r="J122" s="136"/>
      <c r="K122" s="136"/>
      <c r="M122" s="237">
        <f t="shared" si="27"/>
        <v>0.19490430622009569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v>11464</v>
      </c>
      <c r="D123" s="273">
        <v>0</v>
      </c>
      <c r="E123" s="259">
        <f t="shared" si="26"/>
        <v>11464</v>
      </c>
      <c r="F123" s="183">
        <v>0</v>
      </c>
      <c r="G123" s="180">
        <f t="shared" si="28"/>
        <v>11464</v>
      </c>
      <c r="H123" s="181">
        <f t="shared" si="29"/>
        <v>2.907512887505222E-2</v>
      </c>
      <c r="J123" s="261">
        <v>521</v>
      </c>
      <c r="K123" s="261">
        <v>521</v>
      </c>
      <c r="M123" s="237">
        <f t="shared" si="27"/>
        <v>6.856459330143541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v>998</v>
      </c>
      <c r="D124" s="273">
        <v>0</v>
      </c>
      <c r="E124" s="259">
        <f t="shared" si="26"/>
        <v>998</v>
      </c>
      <c r="F124" s="183">
        <v>0</v>
      </c>
      <c r="G124" s="180">
        <f t="shared" si="28"/>
        <v>998</v>
      </c>
      <c r="H124" s="181">
        <f t="shared" si="29"/>
        <v>2.5311390978107217E-3</v>
      </c>
      <c r="J124" s="136"/>
      <c r="K124" s="136"/>
      <c r="M124" s="237">
        <f t="shared" si="27"/>
        <v>0.59688995215311003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v>0</v>
      </c>
      <c r="D125" s="273">
        <v>0</v>
      </c>
      <c r="E125" s="259">
        <f t="shared" si="26"/>
        <v>0</v>
      </c>
      <c r="F125" s="183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v>5033</v>
      </c>
      <c r="D126" s="273">
        <v>0</v>
      </c>
      <c r="E126" s="259">
        <f t="shared" si="26"/>
        <v>5033</v>
      </c>
      <c r="F126" s="183">
        <v>0</v>
      </c>
      <c r="G126" s="180">
        <f t="shared" si="28"/>
        <v>5033</v>
      </c>
      <c r="H126" s="181">
        <f t="shared" si="29"/>
        <v>1.2764752584450263E-2</v>
      </c>
      <c r="J126" s="136"/>
      <c r="K126" s="136"/>
      <c r="M126" s="237">
        <f t="shared" si="27"/>
        <v>3.0101674641148324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v>1500</v>
      </c>
      <c r="D127" s="273">
        <v>0</v>
      </c>
      <c r="E127" s="259">
        <f t="shared" si="26"/>
        <v>1500</v>
      </c>
      <c r="F127" s="183">
        <v>0</v>
      </c>
      <c r="G127" s="180">
        <f t="shared" si="28"/>
        <v>1500</v>
      </c>
      <c r="H127" s="181">
        <f t="shared" si="29"/>
        <v>3.8043172812786403E-3</v>
      </c>
      <c r="J127" s="136"/>
      <c r="K127" s="136"/>
      <c r="M127" s="237">
        <f t="shared" si="27"/>
        <v>0.89712918660287078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v>0</v>
      </c>
      <c r="D128" s="273">
        <v>0</v>
      </c>
      <c r="E128" s="259">
        <f t="shared" si="26"/>
        <v>0</v>
      </c>
      <c r="F128" s="183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v>0</v>
      </c>
      <c r="D129" s="273">
        <v>0</v>
      </c>
      <c r="E129" s="259">
        <f t="shared" si="26"/>
        <v>0</v>
      </c>
      <c r="F129" s="183">
        <v>0</v>
      </c>
      <c r="G129" s="180">
        <f t="shared" si="28"/>
        <v>0</v>
      </c>
      <c r="H129" s="181">
        <f t="shared" si="29"/>
        <v>0</v>
      </c>
      <c r="J129" s="136"/>
      <c r="K129" s="136"/>
      <c r="M129" s="237">
        <f t="shared" si="27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v>1307</v>
      </c>
      <c r="D130" s="273">
        <v>0</v>
      </c>
      <c r="E130" s="259">
        <f t="shared" si="26"/>
        <v>1307</v>
      </c>
      <c r="F130" s="183">
        <v>0</v>
      </c>
      <c r="G130" s="180">
        <f t="shared" si="28"/>
        <v>1307</v>
      </c>
      <c r="H130" s="181">
        <f t="shared" si="29"/>
        <v>3.3148284577541216E-3</v>
      </c>
      <c r="J130" s="136"/>
      <c r="K130" s="136"/>
      <c r="M130" s="237">
        <f t="shared" si="27"/>
        <v>0.78169856459330145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v>0</v>
      </c>
      <c r="D131" s="273"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v>275</v>
      </c>
      <c r="D133" s="273">
        <v>0</v>
      </c>
      <c r="E133" s="259">
        <f t="shared" ref="E133:E138" si="30">SUM(C133:D133)</f>
        <v>275</v>
      </c>
      <c r="F133" s="183">
        <v>0</v>
      </c>
      <c r="G133" s="183">
        <f>IF(ISERROR(E133+F133)," ",(E133+F133))</f>
        <v>275</v>
      </c>
      <c r="H133" s="181">
        <f t="shared" ref="H133:H139" si="31">IF(ISERROR(G133/$G$183),"",(G133/$G$183))</f>
        <v>6.9745816823441737E-4</v>
      </c>
      <c r="J133" s="136"/>
      <c r="K133" s="136"/>
      <c r="M133" s="237">
        <f t="shared" ref="M133:M139" si="32">IFERROR(G133/G$198,0)</f>
        <v>0.16447368421052633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v>1700</v>
      </c>
      <c r="D134" s="273">
        <v>0</v>
      </c>
      <c r="E134" s="259">
        <f t="shared" si="30"/>
        <v>1700</v>
      </c>
      <c r="F134" s="183">
        <v>0</v>
      </c>
      <c r="G134" s="183">
        <f t="shared" ref="G134:G139" si="33">IF(ISERROR(E134+F134),"",(E134+F134))</f>
        <v>1700</v>
      </c>
      <c r="H134" s="181">
        <f t="shared" si="31"/>
        <v>4.3115595854491253E-3</v>
      </c>
      <c r="J134" s="136"/>
      <c r="K134" s="136"/>
      <c r="M134" s="237">
        <f t="shared" si="32"/>
        <v>1.0167464114832536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v>0</v>
      </c>
      <c r="D135" s="273"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v>80</v>
      </c>
      <c r="D136" s="273">
        <v>0</v>
      </c>
      <c r="E136" s="259">
        <f t="shared" si="30"/>
        <v>80</v>
      </c>
      <c r="F136" s="183">
        <v>0</v>
      </c>
      <c r="G136" s="183">
        <f t="shared" si="33"/>
        <v>80</v>
      </c>
      <c r="H136" s="181">
        <f t="shared" si="31"/>
        <v>2.0289692166819415E-4</v>
      </c>
      <c r="J136" s="136"/>
      <c r="K136" s="136"/>
      <c r="M136" s="237">
        <f t="shared" si="32"/>
        <v>4.784688995215311E-2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v>0</v>
      </c>
      <c r="D137" s="273"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v>0</v>
      </c>
      <c r="D138" s="273"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v>25640.53</v>
      </c>
      <c r="D139" s="273">
        <v>0</v>
      </c>
      <c r="E139" s="182">
        <f>SUM(E121:E138)</f>
        <v>25640.53</v>
      </c>
      <c r="F139" s="182">
        <f>SUM(F121:F138)</f>
        <v>0</v>
      </c>
      <c r="G139" s="183">
        <f t="shared" si="33"/>
        <v>25640.53</v>
      </c>
      <c r="H139" s="181">
        <f t="shared" si="31"/>
        <v>6.5029807586762273E-2</v>
      </c>
      <c r="J139" s="136"/>
      <c r="K139" s="136"/>
      <c r="M139" s="237">
        <f t="shared" si="32"/>
        <v>15.335245215311003</v>
      </c>
      <c r="N139" s="243">
        <f>SUMMARY!M139</f>
        <v>37.231450929246826</v>
      </c>
      <c r="O139" s="238">
        <f>M139/N139-1</f>
        <v>-0.58811045950227681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v>12303.38</v>
      </c>
      <c r="D142" s="273">
        <v>0</v>
      </c>
      <c r="E142" s="259">
        <f t="shared" ref="E142:E146" si="34">SUM(C142:D142)</f>
        <v>12303.38</v>
      </c>
      <c r="F142" s="180">
        <v>0</v>
      </c>
      <c r="G142" s="180">
        <f t="shared" ref="G142:G147" si="35">IF(ISERROR(E142+F142),"",(E142+F142))</f>
        <v>12303.38</v>
      </c>
      <c r="H142" s="181">
        <f t="shared" ref="H142:H147" si="36">IF(ISERROR(G142/$G$183),"",(G142/$G$183))</f>
        <v>3.1203974101425329E-2</v>
      </c>
      <c r="J142" s="261">
        <v>1230</v>
      </c>
      <c r="K142" s="261">
        <v>1230</v>
      </c>
      <c r="M142" s="237">
        <f t="shared" ref="M142:M147" si="37">IFERROR(G142/G$198,0)</f>
        <v>7.3584808612440185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v>1225.1099999999999</v>
      </c>
      <c r="D143" s="273">
        <v>0</v>
      </c>
      <c r="E143" s="259">
        <f t="shared" si="34"/>
        <v>1225.1099999999999</v>
      </c>
      <c r="F143" s="183">
        <v>0</v>
      </c>
      <c r="G143" s="183">
        <f t="shared" si="35"/>
        <v>1225.1099999999999</v>
      </c>
      <c r="H143" s="181">
        <f t="shared" si="36"/>
        <v>3.1071380963115162E-3</v>
      </c>
      <c r="J143" s="136"/>
      <c r="K143" s="136"/>
      <c r="M143" s="237">
        <f t="shared" si="37"/>
        <v>0.73272129186602863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v>250</v>
      </c>
      <c r="D144" s="273">
        <v>0</v>
      </c>
      <c r="E144" s="259">
        <f t="shared" si="34"/>
        <v>250</v>
      </c>
      <c r="F144" s="183">
        <v>0</v>
      </c>
      <c r="G144" s="183">
        <f t="shared" si="35"/>
        <v>250</v>
      </c>
      <c r="H144" s="181">
        <f t="shared" si="36"/>
        <v>6.3405288021310669E-4</v>
      </c>
      <c r="J144" s="136"/>
      <c r="K144" s="136"/>
      <c r="M144" s="237">
        <f t="shared" si="37"/>
        <v>0.14952153110047847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v>0</v>
      </c>
      <c r="D145" s="273"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v>0</v>
      </c>
      <c r="D146" s="273">
        <v>0</v>
      </c>
      <c r="E146" s="259">
        <f t="shared" si="34"/>
        <v>0</v>
      </c>
      <c r="F146" s="183">
        <v>0</v>
      </c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v>13778.49</v>
      </c>
      <c r="D147" s="273">
        <v>0</v>
      </c>
      <c r="E147" s="183">
        <f>SUM(E142:E146)</f>
        <v>13778.49</v>
      </c>
      <c r="F147" s="183">
        <f>SUM(F142:F146)</f>
        <v>0</v>
      </c>
      <c r="G147" s="183">
        <f t="shared" si="35"/>
        <v>13778.49</v>
      </c>
      <c r="H147" s="204">
        <f t="shared" si="36"/>
        <v>3.4945165077949952E-2</v>
      </c>
      <c r="J147" s="136"/>
      <c r="K147" s="136"/>
      <c r="M147" s="237">
        <f t="shared" si="37"/>
        <v>8.2407236842105256</v>
      </c>
      <c r="N147" s="243">
        <f>SUMMARY!M147</f>
        <v>3.5319826687546212</v>
      </c>
      <c r="O147" s="238">
        <f>M147/N147-1</f>
        <v>1.3331721746857292</v>
      </c>
      <c r="P147" s="178">
        <f>IF(O147&gt;=0.2,0.3,0)</f>
        <v>0.3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v>83928.95</v>
      </c>
      <c r="D150" s="273">
        <v>0</v>
      </c>
      <c r="E150" s="259">
        <f t="shared" ref="E150:E163" si="38">SUM(C150:D150)</f>
        <v>83928.95</v>
      </c>
      <c r="F150" s="183">
        <v>0</v>
      </c>
      <c r="G150" s="183">
        <f>IF(ISERROR(E150+F150),"",(E150+F150))</f>
        <v>83928.95</v>
      </c>
      <c r="H150" s="181">
        <f>IF(ISERROR(G150/$G$183),"",(G150/$G$183))</f>
        <v>0.21286156992304728</v>
      </c>
      <c r="J150" s="261">
        <v>8390</v>
      </c>
      <c r="K150" s="261">
        <v>8390</v>
      </c>
      <c r="M150" s="237">
        <f t="shared" ref="M150:M164" si="39">IFERROR(G150/G$198,0)</f>
        <v>50.196740430622008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v>12460.71</v>
      </c>
      <c r="D151" s="273">
        <v>0</v>
      </c>
      <c r="E151" s="259">
        <f t="shared" si="38"/>
        <v>12460.71</v>
      </c>
      <c r="F151" s="183">
        <v>0</v>
      </c>
      <c r="G151" s="183">
        <f>IF(ISERROR(E151+F151),"",(E151+F151))</f>
        <v>12460.71</v>
      </c>
      <c r="H151" s="181">
        <f>IF(ISERROR(G151/$G$183),"",(G151/$G$183))</f>
        <v>3.1602996260001043E-2</v>
      </c>
      <c r="J151" s="136"/>
      <c r="K151" s="136"/>
      <c r="M151" s="237">
        <f t="shared" si="39"/>
        <v>7.4525777511961717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v>6050</v>
      </c>
      <c r="D152" s="273">
        <v>0</v>
      </c>
      <c r="E152" s="259">
        <f t="shared" si="38"/>
        <v>6050</v>
      </c>
      <c r="F152" s="183">
        <v>0</v>
      </c>
      <c r="G152" s="183">
        <f t="shared" ref="G152:G163" si="40">IF(ISERROR(E152+F152),"",(E152+F152))</f>
        <v>6050</v>
      </c>
      <c r="H152" s="181">
        <f t="shared" ref="H152:H163" si="41">IF(ISERROR(G152/$G$183),"",(G152/$G$183))</f>
        <v>1.5344079701157181E-2</v>
      </c>
      <c r="J152" s="136"/>
      <c r="K152" s="136"/>
      <c r="M152" s="237">
        <f t="shared" si="39"/>
        <v>3.6184210526315788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v>9270</v>
      </c>
      <c r="D153" s="273">
        <v>0</v>
      </c>
      <c r="E153" s="259">
        <f t="shared" si="38"/>
        <v>9270</v>
      </c>
      <c r="F153" s="183">
        <v>0</v>
      </c>
      <c r="G153" s="183">
        <f t="shared" si="40"/>
        <v>9270</v>
      </c>
      <c r="H153" s="181">
        <f t="shared" si="41"/>
        <v>2.3510680798301997E-2</v>
      </c>
      <c r="J153" s="206"/>
      <c r="K153" s="206"/>
      <c r="M153" s="237">
        <f t="shared" si="39"/>
        <v>5.544258373205742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v>0</v>
      </c>
      <c r="D154" s="273">
        <v>0</v>
      </c>
      <c r="E154" s="259">
        <f t="shared" si="38"/>
        <v>0</v>
      </c>
      <c r="F154" s="183">
        <v>0</v>
      </c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v>0</v>
      </c>
      <c r="D155" s="273">
        <v>0</v>
      </c>
      <c r="E155" s="259">
        <f t="shared" si="38"/>
        <v>0</v>
      </c>
      <c r="F155" s="183">
        <v>0</v>
      </c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v>0</v>
      </c>
      <c r="D156" s="273"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v>0</v>
      </c>
      <c r="D157" s="273">
        <v>0</v>
      </c>
      <c r="E157" s="259">
        <f t="shared" si="38"/>
        <v>0</v>
      </c>
      <c r="F157" s="183">
        <v>0</v>
      </c>
      <c r="G157" s="183">
        <f t="shared" si="40"/>
        <v>0</v>
      </c>
      <c r="H157" s="181">
        <f t="shared" si="41"/>
        <v>0</v>
      </c>
      <c r="J157" s="206"/>
      <c r="K157" s="206"/>
      <c r="M157" s="237">
        <f t="shared" si="39"/>
        <v>0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v>4475</v>
      </c>
      <c r="D158" s="273">
        <v>0</v>
      </c>
      <c r="E158" s="259">
        <f t="shared" si="38"/>
        <v>4475</v>
      </c>
      <c r="F158" s="183">
        <v>0</v>
      </c>
      <c r="G158" s="183">
        <f t="shared" si="40"/>
        <v>4475</v>
      </c>
      <c r="H158" s="181">
        <f t="shared" si="41"/>
        <v>1.134954655581461E-2</v>
      </c>
      <c r="J158" s="206"/>
      <c r="K158" s="206"/>
      <c r="M158" s="237">
        <f t="shared" si="39"/>
        <v>2.6764354066985647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v>6910.42</v>
      </c>
      <c r="D159" s="273">
        <v>0</v>
      </c>
      <c r="E159" s="259">
        <f t="shared" si="38"/>
        <v>6910.42</v>
      </c>
      <c r="F159" s="183">
        <v>0</v>
      </c>
      <c r="G159" s="183">
        <f t="shared" si="40"/>
        <v>6910.42</v>
      </c>
      <c r="H159" s="181">
        <f t="shared" si="41"/>
        <v>1.7526286817929029E-2</v>
      </c>
      <c r="J159" s="206"/>
      <c r="K159" s="206"/>
      <c r="M159" s="237">
        <f t="shared" si="39"/>
        <v>4.1330263157894738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v>3034</v>
      </c>
      <c r="D160" s="273">
        <v>0</v>
      </c>
      <c r="E160" s="259">
        <f t="shared" si="38"/>
        <v>3034</v>
      </c>
      <c r="F160" s="183">
        <v>0</v>
      </c>
      <c r="G160" s="183">
        <f t="shared" si="40"/>
        <v>3034</v>
      </c>
      <c r="H160" s="181">
        <f t="shared" si="41"/>
        <v>7.6948657542662627E-3</v>
      </c>
      <c r="J160" s="136"/>
      <c r="K160" s="136"/>
      <c r="M160" s="237">
        <f t="shared" si="39"/>
        <v>1.8145933014354068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v>0</v>
      </c>
      <c r="D161" s="273">
        <v>0</v>
      </c>
      <c r="E161" s="259">
        <f t="shared" si="38"/>
        <v>0</v>
      </c>
      <c r="F161" s="183">
        <v>0</v>
      </c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v>0</v>
      </c>
      <c r="D162" s="273">
        <v>0</v>
      </c>
      <c r="E162" s="259">
        <f t="shared" si="38"/>
        <v>0</v>
      </c>
      <c r="F162" s="183">
        <v>0</v>
      </c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v>0</v>
      </c>
      <c r="D163" s="273"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v>126129.08</v>
      </c>
      <c r="D164" s="273">
        <v>0</v>
      </c>
      <c r="E164" s="183">
        <f>SUM(E150:E163)</f>
        <v>126129.08</v>
      </c>
      <c r="F164" s="183">
        <f>SUM(F150:F163)</f>
        <v>0</v>
      </c>
      <c r="G164" s="183">
        <f>IF(ISERROR(E164+F164),"",(E164+F164))</f>
        <v>126129.08</v>
      </c>
      <c r="H164" s="181">
        <f>IF(ISERROR(G164/$G$183),"",(G164/$G$183))</f>
        <v>0.3198900258105174</v>
      </c>
      <c r="J164" s="136"/>
      <c r="K164" s="136"/>
      <c r="M164" s="237">
        <f t="shared" si="39"/>
        <v>75.436052631578946</v>
      </c>
      <c r="N164" s="243">
        <f>SUMMARY!M164</f>
        <v>48.166333206280392</v>
      </c>
      <c r="O164" s="238">
        <f>M164/N164-1</f>
        <v>0.56615726400661259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v>0</v>
      </c>
      <c r="D167" s="273">
        <v>0</v>
      </c>
      <c r="E167" s="259">
        <f t="shared" ref="E167:E180" si="42">SUM(C167:D167)</f>
        <v>0</v>
      </c>
      <c r="F167" s="183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v>0</v>
      </c>
      <c r="D168" s="273"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v>60</v>
      </c>
      <c r="D169" s="273">
        <v>0</v>
      </c>
      <c r="E169" s="259">
        <f t="shared" si="42"/>
        <v>60</v>
      </c>
      <c r="F169" s="183">
        <v>0</v>
      </c>
      <c r="G169" s="183">
        <f>IF(ISERROR(E169+F169),"",(E169+F169))</f>
        <v>60</v>
      </c>
      <c r="H169" s="181">
        <f>IF(ISERROR(G169/$G$183),"",(G169/$G$183))</f>
        <v>1.521726912511456E-4</v>
      </c>
      <c r="I169" s="215"/>
      <c r="J169" s="211"/>
      <c r="K169" s="42"/>
      <c r="M169" s="237">
        <f t="shared" si="43"/>
        <v>3.5885167464114832E-2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v>0</v>
      </c>
      <c r="D170" s="273">
        <v>0</v>
      </c>
      <c r="E170" s="259">
        <f t="shared" si="42"/>
        <v>0</v>
      </c>
      <c r="F170" s="183">
        <v>0</v>
      </c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37">
        <f t="shared" si="43"/>
        <v>0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v>734</v>
      </c>
      <c r="D171" s="273">
        <v>0</v>
      </c>
      <c r="E171" s="259">
        <f t="shared" si="42"/>
        <v>734</v>
      </c>
      <c r="F171" s="183">
        <v>0</v>
      </c>
      <c r="G171" s="183">
        <f>IF(ISERROR(E171+F171),"",(E171+F171))</f>
        <v>734</v>
      </c>
      <c r="H171" s="181">
        <f>IF(ISERROR(G171/$G$183),"",(G171/$G$183))</f>
        <v>1.8615792563056812E-3</v>
      </c>
      <c r="I171" s="215"/>
      <c r="J171" s="211"/>
      <c r="K171" s="42"/>
      <c r="M171" s="237">
        <f t="shared" si="43"/>
        <v>0.43899521531100477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v>0</v>
      </c>
      <c r="D172" s="273">
        <v>0</v>
      </c>
      <c r="E172" s="259">
        <f t="shared" si="42"/>
        <v>0</v>
      </c>
      <c r="F172" s="183">
        <v>0</v>
      </c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v>1411</v>
      </c>
      <c r="D173" s="273">
        <v>0</v>
      </c>
      <c r="E173" s="259">
        <f t="shared" si="42"/>
        <v>1411</v>
      </c>
      <c r="F173" s="183">
        <v>0</v>
      </c>
      <c r="G173" s="183">
        <f t="shared" si="44"/>
        <v>1411</v>
      </c>
      <c r="H173" s="181">
        <f t="shared" si="45"/>
        <v>3.578594455922774E-3</v>
      </c>
      <c r="I173" s="215"/>
      <c r="J173" s="211"/>
      <c r="K173" s="42"/>
      <c r="M173" s="237">
        <f t="shared" si="43"/>
        <v>0.84389952153110048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v>0</v>
      </c>
      <c r="D174" s="273"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v>1750</v>
      </c>
      <c r="D175" s="273">
        <v>0</v>
      </c>
      <c r="E175" s="259">
        <f t="shared" si="42"/>
        <v>1750</v>
      </c>
      <c r="F175" s="183">
        <v>0</v>
      </c>
      <c r="G175" s="183">
        <f t="shared" si="44"/>
        <v>1750</v>
      </c>
      <c r="H175" s="181">
        <f t="shared" si="45"/>
        <v>4.4383701614917467E-3</v>
      </c>
      <c r="I175" s="215"/>
      <c r="J175" s="211"/>
      <c r="K175" s="42"/>
      <c r="M175" s="237">
        <f t="shared" si="43"/>
        <v>1.0466507177033493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v>0</v>
      </c>
      <c r="D176" s="273"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v>0</v>
      </c>
      <c r="D177" s="273"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v>720</v>
      </c>
      <c r="D178" s="273">
        <v>0</v>
      </c>
      <c r="E178" s="259">
        <f t="shared" si="42"/>
        <v>720</v>
      </c>
      <c r="F178" s="183">
        <v>0</v>
      </c>
      <c r="G178" s="183">
        <f t="shared" si="44"/>
        <v>720</v>
      </c>
      <c r="H178" s="181">
        <f t="shared" si="45"/>
        <v>1.8260722950137474E-3</v>
      </c>
      <c r="I178" s="215"/>
      <c r="J178" s="211"/>
      <c r="K178" s="42"/>
      <c r="M178" s="237">
        <f t="shared" si="43"/>
        <v>0.43062200956937802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v>0</v>
      </c>
      <c r="D179" s="273"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v>0</v>
      </c>
      <c r="D180" s="273"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v>4675</v>
      </c>
      <c r="D181" s="273">
        <v>0</v>
      </c>
      <c r="E181" s="218">
        <f>SUM(E167:E180)</f>
        <v>4675</v>
      </c>
      <c r="F181" s="316">
        <f>SUM(F167:F180)</f>
        <v>0</v>
      </c>
      <c r="G181" s="183">
        <f t="shared" si="44"/>
        <v>4675</v>
      </c>
      <c r="H181" s="181">
        <f>IF(ISERROR(G181/$G$183),"",(G181/$G$183))</f>
        <v>1.1856788859985095E-2</v>
      </c>
      <c r="I181" s="219"/>
      <c r="J181" s="211"/>
      <c r="K181" s="211"/>
      <c r="M181" s="237">
        <f t="shared" si="43"/>
        <v>2.7960526315789473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91"/>
      <c r="D182" s="291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417426.14999999997</v>
      </c>
      <c r="D183" s="273">
        <f>SUM(D21:D181)/2</f>
        <v>-23137.27</v>
      </c>
      <c r="E183" s="258">
        <f>SUM(E21:E181)/2</f>
        <v>394288.88</v>
      </c>
      <c r="F183" s="179">
        <f>SUM(F21:F181)/2</f>
        <v>0</v>
      </c>
      <c r="G183" s="179">
        <f>SUM(G21:G181)/2</f>
        <v>394288.88</v>
      </c>
      <c r="H183" s="181">
        <f>IF(ISERROR(G183/$G$183),"",(G183/$G$183))</f>
        <v>1</v>
      </c>
      <c r="J183" s="261">
        <f>SUM(J21:J181)</f>
        <v>13872</v>
      </c>
      <c r="K183" s="261">
        <f>SUM(K21:K181)</f>
        <v>13154</v>
      </c>
      <c r="M183" s="237">
        <f>IFERROR(G183/G$198,0)</f>
        <v>235.81870813397128</v>
      </c>
      <c r="N183" s="243">
        <f>SUMMARY!M183</f>
        <v>169.52310231129192</v>
      </c>
      <c r="P183" s="178">
        <f>SUM(P57:P181)</f>
        <v>6.1</v>
      </c>
    </row>
    <row r="184" spans="1:16" s="43" customFormat="1">
      <c r="A184" s="42"/>
      <c r="B184" s="116"/>
      <c r="C184" s="291"/>
      <c r="D184" s="291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91"/>
      <c r="D185" s="291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'[12]Sch C'!D204</f>
        <v>417426</v>
      </c>
      <c r="D186" s="291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336">
        <v>0</v>
      </c>
      <c r="D187" s="280"/>
      <c r="E187" s="28"/>
      <c r="F187" s="285" t="s">
        <v>404</v>
      </c>
      <c r="G187" s="28"/>
      <c r="J187" s="136"/>
      <c r="K187" s="136"/>
    </row>
    <row r="188" spans="1:16" s="43" customFormat="1">
      <c r="A188" s="42"/>
      <c r="B188" s="223"/>
      <c r="C188" s="299"/>
      <c r="D188" s="299"/>
      <c r="E188" s="36"/>
      <c r="F188" s="285" t="s">
        <v>391</v>
      </c>
      <c r="G188" s="36"/>
      <c r="H188" s="178"/>
      <c r="J188" s="136"/>
      <c r="K188" s="136"/>
    </row>
    <row r="189" spans="1:16" s="43" customFormat="1">
      <c r="A189" s="42"/>
      <c r="B189" s="221"/>
      <c r="C189" s="291"/>
      <c r="D189" s="291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-136097.52999999997</v>
      </c>
      <c r="D190" s="273">
        <f>D17-D183</f>
        <v>23137.27</v>
      </c>
      <c r="E190" s="273">
        <f>E17-E183</f>
        <v>-112960.26000000001</v>
      </c>
      <c r="F190" s="273">
        <f>F17-F183</f>
        <v>0</v>
      </c>
      <c r="G190" s="273">
        <f>G17-G183</f>
        <v>-112960.26000000001</v>
      </c>
      <c r="J190" s="136"/>
      <c r="K190" s="136"/>
      <c r="M190" s="237">
        <f>IFERROR(G190/G$198,0)</f>
        <v>-67.559964114832539</v>
      </c>
      <c r="N190" s="243">
        <f>SUMMARY!M190</f>
        <v>7.5236963679698476</v>
      </c>
    </row>
    <row r="191" spans="1:16" s="43" customFormat="1">
      <c r="A191" s="42"/>
      <c r="B191" s="221"/>
      <c r="C191" s="291"/>
      <c r="D191" s="291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91"/>
      <c r="D192" s="291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91"/>
      <c r="D193" s="291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'[12]Sch D'!C9</f>
        <v>1672</v>
      </c>
      <c r="D194" s="301"/>
      <c r="E194" s="264">
        <f>C194+D194</f>
        <v>1672</v>
      </c>
      <c r="F194" s="226"/>
      <c r="G194" s="227">
        <f>E194+F194</f>
        <v>1672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'[12]Sch D'!D9</f>
        <v>0</v>
      </c>
      <c r="D195" s="301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'[12]Sch D'!E9</f>
        <v>0</v>
      </c>
      <c r="D196" s="301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'[12]Sch D'!F9</f>
        <v>0</v>
      </c>
      <c r="D197" s="301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1672</v>
      </c>
      <c r="D198" s="301"/>
      <c r="E198" s="265">
        <f>SUM(E194:E197)</f>
        <v>1672</v>
      </c>
      <c r="F198" s="229">
        <f>SUM(F194:F197)</f>
        <v>0</v>
      </c>
      <c r="G198" s="229">
        <f>SUM(G194:G197)</f>
        <v>1672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02"/>
      <c r="D199" s="303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04"/>
      <c r="D200" s="305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'[12]Sch D'!G22</f>
        <v>8</v>
      </c>
      <c r="D201" s="307"/>
      <c r="E201" s="264">
        <f>C201+D201</f>
        <v>8</v>
      </c>
      <c r="F201" s="224"/>
      <c r="G201" s="231">
        <f>E201+F201</f>
        <v>8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'[12]Sch D'!G24</f>
        <v>8</v>
      </c>
      <c r="D202" s="307"/>
      <c r="E202" s="264">
        <f>C202+D202</f>
        <v>8</v>
      </c>
      <c r="F202" s="269"/>
      <c r="G202" s="231">
        <f>E202+F202</f>
        <v>8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232</v>
      </c>
      <c r="D203" s="305"/>
      <c r="E203" s="231">
        <f>C203</f>
        <v>232</v>
      </c>
      <c r="F203" s="339"/>
      <c r="G203" s="231">
        <f>E203+F203</f>
        <v>232</v>
      </c>
      <c r="H203" s="43"/>
      <c r="I203" s="43"/>
      <c r="J203" s="136"/>
      <c r="K203" s="136"/>
    </row>
    <row r="204" spans="1:11">
      <c r="A204" s="42"/>
      <c r="B204" s="118"/>
      <c r="C204" s="304"/>
      <c r="D204" s="305"/>
      <c r="E204" s="36"/>
      <c r="F204" s="270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'[12]Sch D'!G28</f>
        <v>1856</v>
      </c>
      <c r="D205" s="308"/>
      <c r="E205" s="260">
        <f>E201*E203</f>
        <v>1856</v>
      </c>
      <c r="F205" s="260">
        <f>G201*F203</f>
        <v>0</v>
      </c>
      <c r="G205" s="224">
        <f>G201*G203</f>
        <v>1856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'[12]Sch D'!G30</f>
        <v>0.90086206896551724</v>
      </c>
      <c r="D206" s="305"/>
      <c r="E206" s="266">
        <f>IFERROR(E198/E205,"0")</f>
        <v>0.90086206896551724</v>
      </c>
      <c r="F206" s="337" t="str">
        <f>IFERROR(F198/F205,"")</f>
        <v/>
      </c>
      <c r="G206" s="233">
        <f>G198/G205</f>
        <v>0.90086206896551724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'[12]Sch D'!G32</f>
        <v>0.90086206896551724</v>
      </c>
      <c r="D207" s="305"/>
      <c r="E207" s="266">
        <f>IFERROR((E194+E195)/E205,"0")</f>
        <v>0.90086206896551724</v>
      </c>
      <c r="F207" s="337" t="str">
        <f>IFERROR(((F194+F195)/F205),"")</f>
        <v/>
      </c>
      <c r="G207" s="233">
        <f>(G194+G195)/G205</f>
        <v>0.90086206896551724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'[12]Sch D'!G34</f>
        <v>1</v>
      </c>
      <c r="D208" s="305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91"/>
      <c r="D209" s="291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C210" s="294"/>
      <c r="D210" s="294"/>
      <c r="F210" s="51" t="s">
        <v>305</v>
      </c>
      <c r="G210" s="234"/>
    </row>
    <row r="211" spans="1:11">
      <c r="C211" s="294"/>
      <c r="D211" s="294"/>
      <c r="F211" s="51" t="s">
        <v>306</v>
      </c>
      <c r="G211" s="234"/>
    </row>
    <row r="212" spans="1:11">
      <c r="C212" s="294"/>
      <c r="D212" s="294"/>
      <c r="F212" s="51" t="s">
        <v>307</v>
      </c>
      <c r="G212" s="234"/>
    </row>
    <row r="213" spans="1:11">
      <c r="F213" s="51" t="s">
        <v>308</v>
      </c>
      <c r="G213" s="234"/>
    </row>
  </sheetData>
  <conditionalFormatting sqref="D2">
    <cfRule type="cellIs" dxfId="11" priority="2" stopIfTrue="1" operator="equal">
      <formula>0</formula>
    </cfRule>
  </conditionalFormatting>
  <conditionalFormatting sqref="C2">
    <cfRule type="cellIs" dxfId="10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FF00"/>
    <pageSetUpPr fitToPage="1"/>
  </sheetPr>
  <dimension ref="A1:P213"/>
  <sheetViews>
    <sheetView showGridLines="0" topLeftCell="A196" zoomScaleNormal="10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3" t="s">
        <v>373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'[13]Sch B'!E10</f>
        <v>2922794</v>
      </c>
      <c r="D12" s="273">
        <f>'[13]Sch B'!G10</f>
        <v>0</v>
      </c>
      <c r="E12" s="259">
        <f>SUM(C12:D12)</f>
        <v>2922794</v>
      </c>
      <c r="F12" s="180"/>
      <c r="G12" s="180">
        <f>IF(ISERROR(E12+F12)," ",(E12+F12))</f>
        <v>2922794</v>
      </c>
      <c r="H12" s="181">
        <f t="shared" ref="H12:H17" si="0">IF(ISERROR(G12/$G$17),"",(G12/$G$17))</f>
        <v>0.99956157090308184</v>
      </c>
      <c r="J12" s="246" t="s">
        <v>346</v>
      </c>
      <c r="K12" s="247">
        <f>G17</f>
        <v>2924076</v>
      </c>
      <c r="M12" s="237">
        <f>IFERROR(G12/G$194,0)</f>
        <v>199.31764866339336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'[13]Sch B'!E15</f>
        <v>0</v>
      </c>
      <c r="D13" s="273">
        <f>'[13]Sch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2697785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'[13]Sch B'!E20</f>
        <v>0</v>
      </c>
      <c r="D14" s="273">
        <f>'[13]Sch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14664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'[13]Sch B'!E25</f>
        <v>0</v>
      </c>
      <c r="D15" s="273">
        <f>'[13]Sch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50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'[13]Sch B'!E40</f>
        <v>1282</v>
      </c>
      <c r="D16" s="273">
        <f>'[13]Sch B'!G40</f>
        <v>0</v>
      </c>
      <c r="E16" s="259">
        <f t="shared" si="1"/>
        <v>1282</v>
      </c>
      <c r="F16" s="183"/>
      <c r="G16" s="183">
        <f>IF(ISERROR(E16+F16),"",(E16+F16))</f>
        <v>1282</v>
      </c>
      <c r="H16" s="184">
        <f t="shared" si="0"/>
        <v>4.3842909691813758E-4</v>
      </c>
      <c r="J16" s="248" t="s">
        <v>350</v>
      </c>
      <c r="K16" s="249">
        <f>G205</f>
        <v>18300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2924076</v>
      </c>
      <c r="D17" s="273">
        <f>SUM(D12:D16)</f>
        <v>0</v>
      </c>
      <c r="E17" s="183">
        <f>SUM(E12:E16)</f>
        <v>2924076</v>
      </c>
      <c r="F17" s="183">
        <f>SUM(F12:F16)</f>
        <v>0</v>
      </c>
      <c r="G17" s="183">
        <f>IF(ISERROR(E17+F17),"",(E17+F17))</f>
        <v>2924076</v>
      </c>
      <c r="H17" s="184">
        <f t="shared" si="0"/>
        <v>1</v>
      </c>
      <c r="J17" s="248"/>
      <c r="K17" s="249"/>
      <c r="M17" s="237">
        <f>IFERROR(G17/G$198,0)</f>
        <v>199.40507364975451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108064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108738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'[13]Sch C'!D10</f>
        <v>63836</v>
      </c>
      <c r="D21" s="273">
        <f>'[13]Sch C'!F10</f>
        <v>0</v>
      </c>
      <c r="E21" s="259">
        <f t="shared" ref="E21:E56" si="2">SUM(C21:D21)</f>
        <v>63836</v>
      </c>
      <c r="F21" s="180"/>
      <c r="G21" s="180">
        <f t="shared" ref="G21:G57" si="3">IF(ISERROR(E21+F21),"",(E21+F21))</f>
        <v>63836</v>
      </c>
      <c r="H21" s="181">
        <f>IF(ISERROR(G21/$G$183),"",(G21/$G$183))</f>
        <v>2.3662374874202356E-2</v>
      </c>
      <c r="J21" s="261">
        <v>2080</v>
      </c>
      <c r="K21" s="261">
        <v>2080</v>
      </c>
      <c r="M21" s="237">
        <f>IFERROR(G21/G$198,0)</f>
        <v>4.353246044735406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'[13]Sch C'!D11</f>
        <v>116251</v>
      </c>
      <c r="D22" s="273">
        <f>'[13]Sch C'!F11</f>
        <v>0</v>
      </c>
      <c r="E22" s="259">
        <f t="shared" si="2"/>
        <v>116251</v>
      </c>
      <c r="F22" s="183"/>
      <c r="G22" s="183">
        <f t="shared" si="3"/>
        <v>116251</v>
      </c>
      <c r="H22" s="181">
        <f t="shared" ref="H22:H57" si="4">IF(ISERROR(G22/$G$183),"",(G22/$G$183))</f>
        <v>4.3091276732578766E-2</v>
      </c>
      <c r="J22" s="189">
        <v>2064</v>
      </c>
      <c r="K22" s="189">
        <v>2080</v>
      </c>
      <c r="M22" s="237">
        <f t="shared" ref="M22:M57" si="5">IFERROR(G22/G$198,0)</f>
        <v>7.9276459356246587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'[13]Sch C'!D12</f>
        <v>83503</v>
      </c>
      <c r="D23" s="273">
        <f>'[13]Sch C'!F12</f>
        <v>0</v>
      </c>
      <c r="E23" s="259">
        <f t="shared" si="2"/>
        <v>83503</v>
      </c>
      <c r="F23" s="183"/>
      <c r="G23" s="183">
        <f t="shared" si="3"/>
        <v>83503</v>
      </c>
      <c r="H23" s="181">
        <f t="shared" si="4"/>
        <v>3.095242949308414E-2</v>
      </c>
      <c r="J23" s="189">
        <v>11079</v>
      </c>
      <c r="K23" s="189">
        <v>11178</v>
      </c>
      <c r="M23" s="237">
        <f t="shared" si="5"/>
        <v>5.694421713038734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'[13]Sch C'!D13</f>
        <v>210831</v>
      </c>
      <c r="D24" s="273">
        <f>'[13]Sch C'!F13</f>
        <v>-165507</v>
      </c>
      <c r="E24" s="259">
        <f t="shared" si="2"/>
        <v>45324</v>
      </c>
      <c r="F24" s="183"/>
      <c r="G24" s="183">
        <f t="shared" si="3"/>
        <v>45324</v>
      </c>
      <c r="H24" s="181">
        <f t="shared" si="4"/>
        <v>1.6800449257446386E-2</v>
      </c>
      <c r="J24" s="136"/>
      <c r="K24" s="136"/>
      <c r="M24" s="237">
        <f t="shared" si="5"/>
        <v>3.0908346972176761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'[13]Sch C'!D14</f>
        <v>0</v>
      </c>
      <c r="D25" s="273">
        <f>'[13]Sch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'[13]Sch C'!D15</f>
        <v>0</v>
      </c>
      <c r="D26" s="273">
        <f>'[13]Sch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'[13]Sch C'!D16</f>
        <v>0</v>
      </c>
      <c r="D27" s="273">
        <f>'[13]Sch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'[13]Sch C'!D17</f>
        <v>0</v>
      </c>
      <c r="D28" s="273">
        <f>'[13]Sch C'!F17</f>
        <v>0</v>
      </c>
      <c r="E28" s="259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37">
        <f t="shared" si="5"/>
        <v>0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'[13]Sch C'!D18</f>
        <v>20187</v>
      </c>
      <c r="D29" s="273">
        <f>'[13]Sch C'!F18</f>
        <v>0</v>
      </c>
      <c r="E29" s="259">
        <f t="shared" si="2"/>
        <v>20187</v>
      </c>
      <c r="F29" s="183"/>
      <c r="G29" s="183">
        <f t="shared" si="3"/>
        <v>20187</v>
      </c>
      <c r="H29" s="181">
        <f t="shared" si="4"/>
        <v>7.4828053384535832E-3</v>
      </c>
      <c r="J29" s="136"/>
      <c r="K29" s="136"/>
      <c r="M29" s="237">
        <f t="shared" si="5"/>
        <v>1.3766366612111294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'[13]Sch C'!D19</f>
        <v>6781</v>
      </c>
      <c r="D30" s="273">
        <f>'[13]Sch C'!F19</f>
        <v>0</v>
      </c>
      <c r="E30" s="259">
        <f t="shared" si="2"/>
        <v>6781</v>
      </c>
      <c r="F30" s="183"/>
      <c r="G30" s="183">
        <f t="shared" si="3"/>
        <v>6781</v>
      </c>
      <c r="H30" s="181">
        <f t="shared" si="4"/>
        <v>2.5135435181083739E-3</v>
      </c>
      <c r="J30" s="136"/>
      <c r="K30" s="136"/>
      <c r="M30" s="237">
        <f t="shared" si="5"/>
        <v>0.46242498636115659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'[13]Sch C'!D20</f>
        <v>14630</v>
      </c>
      <c r="D31" s="273">
        <f>'[13]Sch C'!F20</f>
        <v>0</v>
      </c>
      <c r="E31" s="259">
        <f t="shared" si="2"/>
        <v>14630</v>
      </c>
      <c r="F31" s="183"/>
      <c r="G31" s="183">
        <f t="shared" si="3"/>
        <v>14630</v>
      </c>
      <c r="H31" s="181">
        <f t="shared" si="4"/>
        <v>5.4229673602603614E-3</v>
      </c>
      <c r="J31" s="136"/>
      <c r="K31" s="136"/>
      <c r="M31" s="237">
        <f t="shared" si="5"/>
        <v>0.99768139661756683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'[13]Sch C'!D21</f>
        <v>52503</v>
      </c>
      <c r="D32" s="273">
        <f>'[13]Sch C'!F21</f>
        <v>0</v>
      </c>
      <c r="E32" s="259">
        <f t="shared" si="2"/>
        <v>52503</v>
      </c>
      <c r="F32" s="183"/>
      <c r="G32" s="183">
        <f t="shared" si="3"/>
        <v>52503</v>
      </c>
      <c r="H32" s="181">
        <f t="shared" si="4"/>
        <v>1.946152121091933E-2</v>
      </c>
      <c r="J32" s="136"/>
      <c r="K32" s="136"/>
      <c r="M32" s="237">
        <f t="shared" si="5"/>
        <v>3.5804009819967266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'[13]Sch C'!D22</f>
        <v>742</v>
      </c>
      <c r="D33" s="273">
        <f>'[13]Sch C'!F22</f>
        <v>0</v>
      </c>
      <c r="E33" s="259">
        <f t="shared" si="2"/>
        <v>742</v>
      </c>
      <c r="F33" s="183"/>
      <c r="G33" s="183">
        <f t="shared" si="3"/>
        <v>742</v>
      </c>
      <c r="H33" s="181">
        <f t="shared" si="4"/>
        <v>2.7504044985052553E-4</v>
      </c>
      <c r="J33" s="136"/>
      <c r="K33" s="136"/>
      <c r="M33" s="237">
        <f t="shared" si="5"/>
        <v>5.0600109110747409E-2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'[13]Sch C'!D23</f>
        <v>10619</v>
      </c>
      <c r="D34" s="273">
        <f>'[13]Sch C'!F23</f>
        <v>0</v>
      </c>
      <c r="E34" s="259">
        <f t="shared" si="2"/>
        <v>10619</v>
      </c>
      <c r="F34" s="183"/>
      <c r="G34" s="183">
        <f t="shared" si="3"/>
        <v>10619</v>
      </c>
      <c r="H34" s="181">
        <f t="shared" si="4"/>
        <v>3.9361920983325208E-3</v>
      </c>
      <c r="J34" s="136"/>
      <c r="K34" s="136"/>
      <c r="M34" s="237">
        <f t="shared" si="5"/>
        <v>0.72415439170758322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'[13]Sch C'!D24</f>
        <v>0</v>
      </c>
      <c r="D35" s="273">
        <f>'[13]Sch C'!F24</f>
        <v>0</v>
      </c>
      <c r="E35" s="259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'[13]Sch C'!D25</f>
        <v>0</v>
      </c>
      <c r="D36" s="273">
        <f>'[13]Sch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'[13]Sch C'!D26</f>
        <v>122954</v>
      </c>
      <c r="D37" s="273">
        <f>'[13]Sch C'!F26</f>
        <v>0</v>
      </c>
      <c r="E37" s="259">
        <f t="shared" si="2"/>
        <v>122954</v>
      </c>
      <c r="F37" s="183"/>
      <c r="G37" s="183">
        <f t="shared" si="3"/>
        <v>122954</v>
      </c>
      <c r="H37" s="181">
        <f t="shared" si="4"/>
        <v>4.5575907642751365E-2</v>
      </c>
      <c r="J37" s="136"/>
      <c r="K37" s="136"/>
      <c r="M37" s="237">
        <f t="shared" si="5"/>
        <v>8.3847517730496453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'[13]Sch C'!D27</f>
        <v>5528</v>
      </c>
      <c r="D38" s="273">
        <f>'[13]Sch C'!F27</f>
        <v>-58</v>
      </c>
      <c r="E38" s="259">
        <f t="shared" si="2"/>
        <v>5470</v>
      </c>
      <c r="F38" s="183"/>
      <c r="G38" s="183">
        <f t="shared" si="3"/>
        <v>5470</v>
      </c>
      <c r="H38" s="181">
        <f t="shared" si="4"/>
        <v>2.027589300111017E-3</v>
      </c>
      <c r="J38" s="136"/>
      <c r="K38" s="136"/>
      <c r="M38" s="237">
        <f t="shared" si="5"/>
        <v>0.37302236770321878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'[13]Sch C'!D28</f>
        <v>10070</v>
      </c>
      <c r="D39" s="273">
        <f>'[13]Sch C'!F28</f>
        <v>-10070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'[13]Sch C'!D29</f>
        <v>17389</v>
      </c>
      <c r="D40" s="273">
        <f>'[13]Sch C'!F29</f>
        <v>-17389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'[13]Sch C'!D30</f>
        <v>0</v>
      </c>
      <c r="D41" s="273">
        <f>'[13]Sch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'[13]Sch C'!D31</f>
        <v>37346</v>
      </c>
      <c r="D42" s="273">
        <f>'[13]Sch C'!F31</f>
        <v>0</v>
      </c>
      <c r="E42" s="259">
        <f t="shared" si="2"/>
        <v>37346</v>
      </c>
      <c r="F42" s="183"/>
      <c r="G42" s="183">
        <f t="shared" si="3"/>
        <v>37346</v>
      </c>
      <c r="H42" s="181">
        <f t="shared" si="4"/>
        <v>1.3843208409862164E-2</v>
      </c>
      <c r="J42" s="136"/>
      <c r="K42" s="136"/>
      <c r="M42" s="237">
        <f t="shared" si="5"/>
        <v>2.5467812329514459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'[13]Sch C'!D32</f>
        <v>40431</v>
      </c>
      <c r="D43" s="273">
        <f>'[13]Sch C'!F32</f>
        <v>0</v>
      </c>
      <c r="E43" s="259">
        <f t="shared" si="2"/>
        <v>40431</v>
      </c>
      <c r="F43" s="183"/>
      <c r="G43" s="183">
        <f t="shared" si="3"/>
        <v>40431</v>
      </c>
      <c r="H43" s="181">
        <f t="shared" si="4"/>
        <v>1.4986739121167922E-2</v>
      </c>
      <c r="J43" s="136"/>
      <c r="K43" s="136"/>
      <c r="M43" s="237">
        <f t="shared" si="5"/>
        <v>2.7571603927986907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'[13]Sch C'!D33</f>
        <v>0</v>
      </c>
      <c r="D44" s="273">
        <f>'[13]Sch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'[13]Sch C'!D34</f>
        <v>0</v>
      </c>
      <c r="D45" s="273">
        <f>'[13]Sch C'!F34</f>
        <v>0</v>
      </c>
      <c r="E45" s="259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'[13]Sch C'!D35</f>
        <v>0</v>
      </c>
      <c r="D46" s="273">
        <f>'[13]Sch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'[13]Sch C'!D36</f>
        <v>0</v>
      </c>
      <c r="D47" s="273">
        <f>'[13]Sch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'[13]Sch C'!D37</f>
        <v>0</v>
      </c>
      <c r="D48" s="273">
        <f>'[13]Sch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'[13]Sch C'!D38</f>
        <v>0</v>
      </c>
      <c r="D49" s="273">
        <f>'[13]Sch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'[13]Sch C'!D39</f>
        <v>609</v>
      </c>
      <c r="D50" s="273">
        <f>'[13]Sch C'!F39</f>
        <v>0</v>
      </c>
      <c r="E50" s="259">
        <f t="shared" si="2"/>
        <v>609</v>
      </c>
      <c r="F50" s="183"/>
      <c r="G50" s="183">
        <f t="shared" si="3"/>
        <v>609</v>
      </c>
      <c r="H50" s="181">
        <f t="shared" si="4"/>
        <v>2.2574074657543132E-4</v>
      </c>
      <c r="J50" s="136"/>
      <c r="K50" s="136"/>
      <c r="M50" s="237">
        <f t="shared" si="5"/>
        <v>4.153027823240589E-2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'[13]Sch C'!D40</f>
        <v>0</v>
      </c>
      <c r="D51" s="273">
        <f>'[13]Sch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'[13]Sch C'!D41</f>
        <v>22202</v>
      </c>
      <c r="D52" s="273">
        <f>'[13]Sch C'!F41</f>
        <v>0</v>
      </c>
      <c r="E52" s="259">
        <f t="shared" si="2"/>
        <v>22202</v>
      </c>
      <c r="F52" s="183"/>
      <c r="G52" s="183">
        <f t="shared" si="3"/>
        <v>22202</v>
      </c>
      <c r="H52" s="181">
        <f t="shared" si="4"/>
        <v>8.2297143767942962E-3</v>
      </c>
      <c r="J52" s="136"/>
      <c r="K52" s="136"/>
      <c r="M52" s="237">
        <f t="shared" si="5"/>
        <v>1.5140480087288597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'[13]Sch C'!D42</f>
        <v>169</v>
      </c>
      <c r="D53" s="273">
        <f>'[13]Sch C'!F42</f>
        <v>0</v>
      </c>
      <c r="E53" s="259">
        <f t="shared" si="2"/>
        <v>169</v>
      </c>
      <c r="F53" s="183"/>
      <c r="G53" s="183">
        <f t="shared" si="3"/>
        <v>169</v>
      </c>
      <c r="H53" s="181">
        <f t="shared" si="4"/>
        <v>6.2643983860833979E-5</v>
      </c>
      <c r="J53" s="136"/>
      <c r="K53" s="136"/>
      <c r="M53" s="237">
        <f t="shared" si="5"/>
        <v>1.152482269503546E-2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'[13]Sch C'!D43</f>
        <v>0</v>
      </c>
      <c r="D54" s="273">
        <f>'[13]Sch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'[13]Sch C'!D44</f>
        <v>0</v>
      </c>
      <c r="D55" s="273">
        <f>'[13]Sch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'[13]Sch C'!D45</f>
        <v>29260</v>
      </c>
      <c r="D56" s="273">
        <f>'[13]Sch C'!F45</f>
        <v>-1176</v>
      </c>
      <c r="E56" s="259">
        <f t="shared" si="2"/>
        <v>28084</v>
      </c>
      <c r="F56" s="183"/>
      <c r="G56" s="183">
        <f t="shared" si="3"/>
        <v>28084</v>
      </c>
      <c r="H56" s="181">
        <f t="shared" si="4"/>
        <v>1.041002155471989E-2</v>
      </c>
      <c r="J56" s="136"/>
      <c r="K56" s="136"/>
      <c r="M56" s="237">
        <f t="shared" si="5"/>
        <v>1.915166393889798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865841</v>
      </c>
      <c r="D57" s="273">
        <f>SUM(D21:D56)</f>
        <v>-194200</v>
      </c>
      <c r="E57" s="183">
        <f>SUM(E21:E56)</f>
        <v>671641</v>
      </c>
      <c r="F57" s="183">
        <f>SUM(F21:F56)</f>
        <v>0</v>
      </c>
      <c r="G57" s="183">
        <f t="shared" si="3"/>
        <v>671641</v>
      </c>
      <c r="H57" s="181">
        <f t="shared" si="4"/>
        <v>0.24896016546907926</v>
      </c>
      <c r="J57" s="136"/>
      <c r="K57" s="136"/>
      <c r="M57" s="237">
        <f t="shared" si="5"/>
        <v>45.802032187670484</v>
      </c>
      <c r="N57" s="243">
        <f>SUMMARY!M57</f>
        <v>39.672950949912064</v>
      </c>
      <c r="O57" s="238">
        <f>M57/N57-1</f>
        <v>0.15449017758967609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'[13]Sch C'!D57</f>
        <v>219471</v>
      </c>
      <c r="D60" s="273">
        <f>'[13]Sch C'!F57</f>
        <v>0</v>
      </c>
      <c r="E60" s="259">
        <f t="shared" ref="E60:E76" si="6">SUM(C60:D60)</f>
        <v>219471</v>
      </c>
      <c r="F60" s="179"/>
      <c r="G60" s="179">
        <f>IF(ISERROR(E60+F60),"",(E60+F60))</f>
        <v>219471</v>
      </c>
      <c r="H60" s="181">
        <f>IF(ISERROR(G60/$G$183),"",(G60/$G$183))</f>
        <v>8.1352294567580447E-2</v>
      </c>
      <c r="J60" s="136"/>
      <c r="K60" s="136"/>
      <c r="M60" s="237">
        <f>IFERROR(G60/G$198,0)</f>
        <v>14.966653027823241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'[13]Sch C'!D58</f>
        <v>19488</v>
      </c>
      <c r="D61" s="273">
        <f>'[13]Sch C'!F58</f>
        <v>0</v>
      </c>
      <c r="E61" s="259">
        <f t="shared" si="6"/>
        <v>19488</v>
      </c>
      <c r="F61" s="179"/>
      <c r="G61" s="179">
        <f t="shared" ref="G61:G76" si="7">IF(ISERROR(E61+F61),"",(E61+F61))</f>
        <v>19488</v>
      </c>
      <c r="H61" s="181">
        <f t="shared" ref="H61:H76" si="8">IF(ISERROR(G61/$G$183),"",(G61/$G$183))</f>
        <v>7.2237038904138023E-3</v>
      </c>
      <c r="J61" s="136"/>
      <c r="K61" s="136"/>
      <c r="M61" s="237">
        <f t="shared" ref="M61:M77" si="9">IFERROR(G61/G$198,0)</f>
        <v>1.3289689034369885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'[13]Sch C'!D59</f>
        <v>0</v>
      </c>
      <c r="D62" s="273">
        <f>'[13]Sch C'!F59</f>
        <v>0</v>
      </c>
      <c r="E62" s="259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37">
        <f t="shared" si="9"/>
        <v>0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'[13]Sch C'!D60</f>
        <v>0</v>
      </c>
      <c r="D63" s="273">
        <f>'[13]Sch C'!F60</f>
        <v>0</v>
      </c>
      <c r="E63" s="259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'[13]Sch C'!D61</f>
        <v>0</v>
      </c>
      <c r="D64" s="273">
        <f>'[13]Sch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'[13]Sch C'!D62</f>
        <v>0</v>
      </c>
      <c r="D65" s="273">
        <f>'[13]Sch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'[13]Sch C'!D63</f>
        <v>0</v>
      </c>
      <c r="D66" s="273">
        <f>'[13]Sch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'[13]Sch C'!D64</f>
        <v>0</v>
      </c>
      <c r="D67" s="273">
        <f>'[13]Sch C'!F64</f>
        <v>0</v>
      </c>
      <c r="E67" s="259">
        <f t="shared" si="6"/>
        <v>0</v>
      </c>
      <c r="F67" s="179"/>
      <c r="G67" s="179">
        <f t="shared" si="7"/>
        <v>0</v>
      </c>
      <c r="H67" s="181">
        <f t="shared" si="8"/>
        <v>0</v>
      </c>
      <c r="J67" s="136"/>
      <c r="K67" s="136"/>
      <c r="M67" s="237">
        <f t="shared" si="9"/>
        <v>0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'[13]Sch C'!D65</f>
        <v>0</v>
      </c>
      <c r="D68" s="273">
        <f>'[13]Sch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'[13]Sch C'!D66</f>
        <v>0</v>
      </c>
      <c r="D69" s="273">
        <f>'[13]Sch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'[13]Sch C'!D67</f>
        <v>0</v>
      </c>
      <c r="D70" s="273">
        <f>'[13]Sch C'!F67</f>
        <v>0</v>
      </c>
      <c r="E70" s="259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37">
        <f t="shared" si="9"/>
        <v>0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'[13]Sch C'!D68</f>
        <v>0</v>
      </c>
      <c r="D71" s="273">
        <f>'[13]Sch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'[13]Sch C'!D69</f>
        <v>0</v>
      </c>
      <c r="D72" s="273">
        <f>'[13]Sch C'!F69</f>
        <v>0</v>
      </c>
      <c r="E72" s="259">
        <f t="shared" si="6"/>
        <v>0</v>
      </c>
      <c r="F72" s="179"/>
      <c r="G72" s="179">
        <f t="shared" si="7"/>
        <v>0</v>
      </c>
      <c r="H72" s="181">
        <f t="shared" si="8"/>
        <v>0</v>
      </c>
      <c r="J72" s="136"/>
      <c r="K72" s="136"/>
      <c r="M72" s="237">
        <f t="shared" si="9"/>
        <v>0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'[13]Sch C'!D70</f>
        <v>0</v>
      </c>
      <c r="D73" s="273">
        <f>'[13]Sch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'[13]Sch C'!D71</f>
        <v>355</v>
      </c>
      <c r="D74" s="273">
        <f>'[13]Sch C'!F71</f>
        <v>0</v>
      </c>
      <c r="E74" s="259">
        <f t="shared" si="6"/>
        <v>355</v>
      </c>
      <c r="F74" s="179"/>
      <c r="G74" s="179">
        <f t="shared" si="7"/>
        <v>355</v>
      </c>
      <c r="H74" s="181">
        <f t="shared" si="8"/>
        <v>1.3158943355382285E-4</v>
      </c>
      <c r="J74" s="136"/>
      <c r="K74" s="136"/>
      <c r="M74" s="237">
        <f t="shared" si="9"/>
        <v>2.4208947081287506E-2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'[13]Sch C'!D72</f>
        <v>0</v>
      </c>
      <c r="D75" s="273">
        <f>'[13]Sch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'[13]Sch C'!D73</f>
        <v>0</v>
      </c>
      <c r="D76" s="273">
        <f>'[13]Sch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239314</v>
      </c>
      <c r="D77" s="273">
        <f>SUM(D60:D76)</f>
        <v>0</v>
      </c>
      <c r="E77" s="182">
        <f>SUM(E60:E76)</f>
        <v>239314</v>
      </c>
      <c r="F77" s="182">
        <f>SUM(F60:F76)</f>
        <v>0</v>
      </c>
      <c r="G77" s="183">
        <f>IF(ISERROR(E77+F77),"",(E77+F77))</f>
        <v>239314</v>
      </c>
      <c r="H77" s="181">
        <f>IF(ISERROR(G77/$G$183),"",(G77/$G$183))</f>
        <v>8.8707587891548062E-2</v>
      </c>
      <c r="J77" s="136"/>
      <c r="K77" s="136"/>
      <c r="M77" s="237">
        <f t="shared" si="9"/>
        <v>16.319830878341516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'[13]Sch C'!D78</f>
        <v>74460</v>
      </c>
      <c r="D80" s="273">
        <f>'[13]Sch C'!F78</f>
        <v>0</v>
      </c>
      <c r="E80" s="259">
        <f t="shared" ref="E80:E91" si="10">SUM(C80:D80)</f>
        <v>74460</v>
      </c>
      <c r="F80" s="180"/>
      <c r="G80" s="180">
        <f>IF(ISERROR(E80+F80),"",(E80+F80))</f>
        <v>74460</v>
      </c>
      <c r="H80" s="181">
        <f t="shared" ref="H80:H92" si="11">IF(ISERROR(G80/$G$183),"",(G80/$G$183))</f>
        <v>2.760042034483845E-2</v>
      </c>
      <c r="J80" s="261">
        <v>5783</v>
      </c>
      <c r="K80" s="261">
        <v>5911</v>
      </c>
      <c r="M80" s="237">
        <f t="shared" ref="M80:M92" si="12">IFERROR(G80/G$198,0)</f>
        <v>5.0777414075286416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'[13]Sch C'!D79</f>
        <v>0</v>
      </c>
      <c r="D81" s="273">
        <f>'[13]Sch C'!F79</f>
        <v>12803</v>
      </c>
      <c r="E81" s="259">
        <f t="shared" si="10"/>
        <v>12803</v>
      </c>
      <c r="F81" s="183"/>
      <c r="G81" s="183">
        <f>IF(ISERROR(E81+F81),"",(E81+F81))</f>
        <v>12803</v>
      </c>
      <c r="H81" s="181">
        <f t="shared" si="11"/>
        <v>4.745745120534068E-3</v>
      </c>
      <c r="J81" s="136"/>
      <c r="K81" s="136"/>
      <c r="M81" s="237">
        <f t="shared" si="12"/>
        <v>0.87309056192034917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'[13]Sch C'!D80</f>
        <v>372</v>
      </c>
      <c r="D82" s="273">
        <f>'[13]Sch C'!F80</f>
        <v>0</v>
      </c>
      <c r="E82" s="259">
        <f t="shared" si="10"/>
        <v>372</v>
      </c>
      <c r="F82" s="183"/>
      <c r="G82" s="183">
        <f>IF(ISERROR(E82+F82),"",(E82+F82))</f>
        <v>372</v>
      </c>
      <c r="H82" s="181">
        <f t="shared" si="11"/>
        <v>1.3789089938597774E-4</v>
      </c>
      <c r="J82" s="136"/>
      <c r="K82" s="136"/>
      <c r="M82" s="237">
        <f t="shared" si="12"/>
        <v>2.5368248772504091E-2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'[13]Sch C'!D81</f>
        <v>0</v>
      </c>
      <c r="D83" s="273">
        <f>'[13]Sch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'[13]Sch C'!D82</f>
        <v>376</v>
      </c>
      <c r="D84" s="273">
        <f>'[13]Sch C'!F82</f>
        <v>0</v>
      </c>
      <c r="E84" s="259">
        <f t="shared" si="10"/>
        <v>376</v>
      </c>
      <c r="F84" s="183"/>
      <c r="G84" s="183">
        <f t="shared" ref="G84:G91" si="13">IF(ISERROR(E84+F84),"",(E84+F84))</f>
        <v>376</v>
      </c>
      <c r="H84" s="181">
        <f t="shared" si="11"/>
        <v>1.3937359722883774E-4</v>
      </c>
      <c r="J84" s="136"/>
      <c r="K84" s="136"/>
      <c r="M84" s="237">
        <f t="shared" si="12"/>
        <v>2.564102564102564E-2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'[13]Sch C'!D83</f>
        <v>778</v>
      </c>
      <c r="D85" s="273">
        <f>'[13]Sch C'!F83</f>
        <v>0</v>
      </c>
      <c r="E85" s="259">
        <f t="shared" si="10"/>
        <v>778</v>
      </c>
      <c r="F85" s="183"/>
      <c r="G85" s="183">
        <f t="shared" si="13"/>
        <v>778</v>
      </c>
      <c r="H85" s="181">
        <f t="shared" si="11"/>
        <v>2.8838473043626533E-4</v>
      </c>
      <c r="J85" s="136"/>
      <c r="K85" s="136"/>
      <c r="M85" s="237">
        <f t="shared" si="12"/>
        <v>5.3055100927441354E-2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'[13]Sch C'!D84</f>
        <v>11783</v>
      </c>
      <c r="D86" s="273">
        <f>'[13]Sch C'!F84</f>
        <v>0</v>
      </c>
      <c r="E86" s="259">
        <f t="shared" si="10"/>
        <v>11783</v>
      </c>
      <c r="F86" s="183"/>
      <c r="G86" s="183">
        <f t="shared" si="13"/>
        <v>11783</v>
      </c>
      <c r="H86" s="181">
        <f t="shared" si="11"/>
        <v>4.3676571706047738E-3</v>
      </c>
      <c r="J86" s="136"/>
      <c r="K86" s="136"/>
      <c r="M86" s="237">
        <f t="shared" si="12"/>
        <v>0.80353246044735405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'[13]Sch C'!D85</f>
        <v>13725</v>
      </c>
      <c r="D87" s="273">
        <f>'[13]Sch C'!F85</f>
        <v>0</v>
      </c>
      <c r="E87" s="259">
        <f t="shared" si="10"/>
        <v>13725</v>
      </c>
      <c r="F87" s="183"/>
      <c r="G87" s="183">
        <f t="shared" si="13"/>
        <v>13725</v>
      </c>
      <c r="H87" s="181">
        <f t="shared" si="11"/>
        <v>5.0875069733132923E-3</v>
      </c>
      <c r="J87" s="136"/>
      <c r="K87" s="136"/>
      <c r="M87" s="237">
        <f t="shared" si="12"/>
        <v>0.93596563011456624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'[13]Sch C'!D86</f>
        <v>13360</v>
      </c>
      <c r="D88" s="273">
        <f>'[13]Sch C'!F86</f>
        <v>0</v>
      </c>
      <c r="E88" s="259">
        <f t="shared" si="10"/>
        <v>13360</v>
      </c>
      <c r="F88" s="183"/>
      <c r="G88" s="183">
        <f t="shared" si="13"/>
        <v>13360</v>
      </c>
      <c r="H88" s="181">
        <f t="shared" si="11"/>
        <v>4.9522107951523193E-3</v>
      </c>
      <c r="J88" s="136"/>
      <c r="K88" s="136"/>
      <c r="M88" s="237">
        <f t="shared" si="12"/>
        <v>0.91107474086197493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'[13]Sch C'!D87</f>
        <v>44447</v>
      </c>
      <c r="D89" s="273">
        <f>'[13]Sch C'!F87</f>
        <v>0</v>
      </c>
      <c r="E89" s="259">
        <f t="shared" si="10"/>
        <v>44447</v>
      </c>
      <c r="F89" s="183"/>
      <c r="G89" s="183">
        <f t="shared" si="13"/>
        <v>44447</v>
      </c>
      <c r="H89" s="181">
        <f t="shared" si="11"/>
        <v>1.6475367755399338E-2</v>
      </c>
      <c r="J89" s="136"/>
      <c r="K89" s="136"/>
      <c r="M89" s="237">
        <f t="shared" si="12"/>
        <v>3.0310283687943262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'[13]Sch C'!D88</f>
        <v>12118</v>
      </c>
      <c r="D90" s="273">
        <f>'[13]Sch C'!F88</f>
        <v>0</v>
      </c>
      <c r="E90" s="259">
        <f t="shared" si="10"/>
        <v>12118</v>
      </c>
      <c r="F90" s="183"/>
      <c r="G90" s="183">
        <f t="shared" si="13"/>
        <v>12118</v>
      </c>
      <c r="H90" s="181">
        <f t="shared" si="11"/>
        <v>4.4918331149442969E-3</v>
      </c>
      <c r="J90" s="136"/>
      <c r="K90" s="136"/>
      <c r="M90" s="237">
        <f t="shared" si="12"/>
        <v>0.82637752318603386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'[13]Sch C'!D89</f>
        <v>0</v>
      </c>
      <c r="D91" s="273">
        <f>'[13]Sch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171419</v>
      </c>
      <c r="D92" s="273">
        <f>SUM(D80:D91)</f>
        <v>12803</v>
      </c>
      <c r="E92" s="183">
        <f>SUM(E80:E91)</f>
        <v>184222</v>
      </c>
      <c r="F92" s="183">
        <f>SUM(F80:F91)</f>
        <v>0</v>
      </c>
      <c r="G92" s="183">
        <f>IF(ISERROR(E92+F92),"",(E92+F92))</f>
        <v>184222</v>
      </c>
      <c r="H92" s="181">
        <f t="shared" si="11"/>
        <v>6.8286390501837615E-2</v>
      </c>
      <c r="J92" s="136"/>
      <c r="K92" s="136"/>
      <c r="M92" s="237">
        <f t="shared" si="12"/>
        <v>12.562875068194217</v>
      </c>
      <c r="N92" s="243">
        <f>SUMMARY!M92</f>
        <v>10.36414021133649</v>
      </c>
      <c r="O92" s="238">
        <f>M92/N92-1</f>
        <v>0.21214831254914013</v>
      </c>
      <c r="P92" s="178">
        <f>IF(O92&gt;=0.2,0.6,0)</f>
        <v>0.6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'[13]Sch C'!D93</f>
        <v>90142</v>
      </c>
      <c r="D95" s="273">
        <f>'[13]Sch C'!F93</f>
        <v>0</v>
      </c>
      <c r="E95" s="259">
        <f t="shared" ref="E95:E100" si="14">SUM(C95:D95)</f>
        <v>90142</v>
      </c>
      <c r="F95" s="180"/>
      <c r="G95" s="180">
        <f t="shared" ref="G95:G101" si="15">IF(ISERROR(E95+F95),"",(E95+F95))</f>
        <v>90142</v>
      </c>
      <c r="H95" s="181">
        <f t="shared" ref="H95:H101" si="16">IF(ISERROR(G95/$G$183),"",(G95/$G$183))</f>
        <v>3.3413337237770985E-2</v>
      </c>
      <c r="J95" s="261">
        <v>9600</v>
      </c>
      <c r="K95" s="261">
        <v>9736</v>
      </c>
      <c r="M95" s="237">
        <f t="shared" ref="M95:M101" si="17">IFERROR(G95/G$198,0)</f>
        <v>6.1471631205673756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'[13]Sch C'!D94</f>
        <v>0</v>
      </c>
      <c r="D96" s="273">
        <f>'[13]Sch C'!F94</f>
        <v>15500</v>
      </c>
      <c r="E96" s="259">
        <f t="shared" si="14"/>
        <v>15500</v>
      </c>
      <c r="F96" s="183"/>
      <c r="G96" s="183">
        <f t="shared" si="15"/>
        <v>15500</v>
      </c>
      <c r="H96" s="181">
        <f t="shared" si="16"/>
        <v>5.7454541410824067E-3</v>
      </c>
      <c r="J96" s="136"/>
      <c r="K96" s="136"/>
      <c r="M96" s="237">
        <f t="shared" si="17"/>
        <v>1.0570103655210039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'[13]Sch C'!D95</f>
        <v>7906</v>
      </c>
      <c r="D97" s="273">
        <f>'[13]Sch C'!F95</f>
        <v>0</v>
      </c>
      <c r="E97" s="259">
        <f t="shared" si="14"/>
        <v>7906</v>
      </c>
      <c r="F97" s="183"/>
      <c r="G97" s="183">
        <f t="shared" si="15"/>
        <v>7906</v>
      </c>
      <c r="H97" s="181">
        <f t="shared" si="16"/>
        <v>2.9305522864127424E-3</v>
      </c>
      <c r="J97" s="136"/>
      <c r="K97" s="136"/>
      <c r="M97" s="237">
        <f t="shared" si="17"/>
        <v>0.53914348063284234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'[13]Sch C'!D96</f>
        <v>83640</v>
      </c>
      <c r="D98" s="273">
        <f>'[13]Sch C'!F96</f>
        <v>-49</v>
      </c>
      <c r="E98" s="259">
        <f t="shared" si="14"/>
        <v>83591</v>
      </c>
      <c r="F98" s="183"/>
      <c r="G98" s="183">
        <f t="shared" si="15"/>
        <v>83591</v>
      </c>
      <c r="H98" s="181">
        <f t="shared" si="16"/>
        <v>3.0985048845627059E-2</v>
      </c>
      <c r="J98" s="136"/>
      <c r="K98" s="136"/>
      <c r="M98" s="237">
        <f t="shared" si="17"/>
        <v>5.7004228041462088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'[13]Sch C'!D97</f>
        <v>448</v>
      </c>
      <c r="D99" s="273">
        <f>'[13]Sch C'!F97</f>
        <v>0</v>
      </c>
      <c r="E99" s="259">
        <f t="shared" si="14"/>
        <v>448</v>
      </c>
      <c r="F99" s="183"/>
      <c r="G99" s="183">
        <f t="shared" si="15"/>
        <v>448</v>
      </c>
      <c r="H99" s="181">
        <f t="shared" si="16"/>
        <v>1.660621584003173E-4</v>
      </c>
      <c r="J99" s="136"/>
      <c r="K99" s="136"/>
      <c r="M99" s="237">
        <f t="shared" si="17"/>
        <v>3.0551009274413531E-2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'[13]Sch C'!D98</f>
        <v>506</v>
      </c>
      <c r="D100" s="273">
        <f>'[13]Sch C'!F98</f>
        <v>0</v>
      </c>
      <c r="E100" s="259">
        <f t="shared" si="14"/>
        <v>506</v>
      </c>
      <c r="F100" s="183"/>
      <c r="G100" s="183">
        <f t="shared" si="15"/>
        <v>506</v>
      </c>
      <c r="H100" s="181">
        <f t="shared" si="16"/>
        <v>1.8756127712178696E-4</v>
      </c>
      <c r="J100" s="136"/>
      <c r="K100" s="136"/>
      <c r="M100" s="237">
        <f t="shared" si="17"/>
        <v>3.4506273867975994E-2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182642</v>
      </c>
      <c r="D101" s="273">
        <f>SUM(D95:D100)</f>
        <v>15451</v>
      </c>
      <c r="E101" s="183">
        <f>SUM(E95:E100)</f>
        <v>198093</v>
      </c>
      <c r="F101" s="183">
        <f>SUM(F95:F100)</f>
        <v>0</v>
      </c>
      <c r="G101" s="183">
        <f t="shared" si="15"/>
        <v>198093</v>
      </c>
      <c r="H101" s="181">
        <f t="shared" si="16"/>
        <v>7.3428015946415306E-2</v>
      </c>
      <c r="J101" s="136"/>
      <c r="K101" s="136"/>
      <c r="M101" s="237">
        <f t="shared" si="17"/>
        <v>13.50879705400982</v>
      </c>
      <c r="N101" s="243">
        <f>SUMMARY!M101</f>
        <v>14.116295917008408</v>
      </c>
      <c r="O101" s="238">
        <f>M101/N101-1</f>
        <v>-4.3035288192465937E-2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'[13]Sch C'!D102</f>
        <v>21505</v>
      </c>
      <c r="D104" s="273">
        <f>'[13]Sch C'!F102</f>
        <v>0</v>
      </c>
      <c r="E104" s="259">
        <f t="shared" ref="E104:E109" si="18">SUM(C104:D104)</f>
        <v>21505</v>
      </c>
      <c r="F104" s="180"/>
      <c r="G104" s="180">
        <f t="shared" ref="G104:G110" si="19">IF(ISERROR(E104+F104),"",(E104+F104))</f>
        <v>21505</v>
      </c>
      <c r="H104" s="181">
        <f t="shared" ref="H104:H110" si="20">IF(ISERROR(G104/$G$183),"",(G104/$G$183))</f>
        <v>7.9713542776759447E-3</v>
      </c>
      <c r="J104" s="261">
        <v>2101</v>
      </c>
      <c r="K104" s="261">
        <v>2117</v>
      </c>
      <c r="M104" s="237">
        <f t="shared" ref="M104:M110" si="21">IFERROR(G104/G$198,0)</f>
        <v>1.4665166393889799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'[13]Sch C'!D103</f>
        <v>0</v>
      </c>
      <c r="D105" s="273">
        <f>'[13]Sch C'!F103</f>
        <v>3698</v>
      </c>
      <c r="E105" s="259">
        <f t="shared" si="18"/>
        <v>3698</v>
      </c>
      <c r="F105" s="183"/>
      <c r="G105" s="183">
        <f t="shared" si="19"/>
        <v>3698</v>
      </c>
      <c r="H105" s="181">
        <f t="shared" si="20"/>
        <v>1.3707541557240477E-3</v>
      </c>
      <c r="J105" s="136"/>
      <c r="K105" s="136"/>
      <c r="M105" s="237">
        <f t="shared" si="21"/>
        <v>0.25218221494817239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'[13]Sch C'!D104</f>
        <v>1584</v>
      </c>
      <c r="D106" s="273">
        <f>'[13]Sch C'!F104</f>
        <v>0</v>
      </c>
      <c r="E106" s="259">
        <f t="shared" si="18"/>
        <v>1584</v>
      </c>
      <c r="F106" s="183"/>
      <c r="G106" s="183">
        <f t="shared" si="19"/>
        <v>1584</v>
      </c>
      <c r="H106" s="181">
        <f t="shared" si="20"/>
        <v>5.8714834577255047E-4</v>
      </c>
      <c r="J106" s="136"/>
      <c r="K106" s="136"/>
      <c r="M106" s="237">
        <f t="shared" si="21"/>
        <v>0.10801963993453355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'[13]Sch C'!D105</f>
        <v>0</v>
      </c>
      <c r="D107" s="273">
        <f>'[13]Sch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'[13]Sch C'!D106</f>
        <v>1764</v>
      </c>
      <c r="D108" s="273">
        <f>'[13]Sch C'!F106</f>
        <v>0</v>
      </c>
      <c r="E108" s="259">
        <f t="shared" si="18"/>
        <v>1764</v>
      </c>
      <c r="F108" s="183"/>
      <c r="G108" s="183">
        <f t="shared" si="19"/>
        <v>1764</v>
      </c>
      <c r="H108" s="181">
        <f t="shared" si="20"/>
        <v>6.5386974870124939E-4</v>
      </c>
      <c r="J108" s="136"/>
      <c r="K108" s="136"/>
      <c r="M108" s="237">
        <f t="shared" si="21"/>
        <v>0.12029459901800327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'[13]Sch C'!D107</f>
        <v>300</v>
      </c>
      <c r="D109" s="273">
        <f>'[13]Sch C'!F107</f>
        <v>0</v>
      </c>
      <c r="E109" s="259">
        <f t="shared" si="18"/>
        <v>300</v>
      </c>
      <c r="F109" s="183"/>
      <c r="G109" s="183">
        <f t="shared" si="19"/>
        <v>300</v>
      </c>
      <c r="H109" s="181">
        <f t="shared" si="20"/>
        <v>1.1120233821449819E-4</v>
      </c>
      <c r="J109" s="136"/>
      <c r="K109" s="136"/>
      <c r="M109" s="237">
        <f t="shared" si="21"/>
        <v>2.0458265139116204E-2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25153</v>
      </c>
      <c r="D110" s="273">
        <f>SUM(D104:D109)</f>
        <v>3698</v>
      </c>
      <c r="E110" s="183">
        <f>SUM(E104:E109)</f>
        <v>28851</v>
      </c>
      <c r="F110" s="183">
        <f>SUM(F104:F109)</f>
        <v>0</v>
      </c>
      <c r="G110" s="183">
        <f t="shared" si="19"/>
        <v>28851</v>
      </c>
      <c r="H110" s="181">
        <f t="shared" si="20"/>
        <v>1.0694328866088291E-2</v>
      </c>
      <c r="J110" s="136"/>
      <c r="K110" s="136"/>
      <c r="M110" s="237">
        <f t="shared" si="21"/>
        <v>1.9674713584288053</v>
      </c>
      <c r="N110" s="243">
        <f>SUMMARY!M110</f>
        <v>2.6822243142585545</v>
      </c>
      <c r="O110" s="238">
        <f>M110/N110-1</f>
        <v>-0.26647769615321226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'[13]Sch C'!D121</f>
        <v>67380</v>
      </c>
      <c r="D113" s="273">
        <f>'[13]Sch C'!F121</f>
        <v>0</v>
      </c>
      <c r="E113" s="259">
        <f t="shared" ref="E113:E117" si="22">SUM(C113:D113)</f>
        <v>67380</v>
      </c>
      <c r="F113" s="180"/>
      <c r="G113" s="180">
        <f t="shared" ref="G113:G118" si="23">IF(ISERROR(E113+F113),"",(E113+F113))</f>
        <v>67380</v>
      </c>
      <c r="H113" s="181">
        <f t="shared" ref="H113:H118" si="24">IF(ISERROR(G113/$G$183),"",(G113/$G$183))</f>
        <v>2.4976045162976294E-2</v>
      </c>
      <c r="J113" s="261">
        <v>7369</v>
      </c>
      <c r="K113" s="261">
        <v>7440</v>
      </c>
      <c r="M113" s="237">
        <f t="shared" ref="M113:M118" si="25">IFERROR(G113/G$198,0)</f>
        <v>4.5949263502454993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'[13]Sch C'!D122</f>
        <v>0</v>
      </c>
      <c r="D114" s="273">
        <f>'[13]Sch C'!F122</f>
        <v>11586</v>
      </c>
      <c r="E114" s="259">
        <f t="shared" si="22"/>
        <v>11586</v>
      </c>
      <c r="F114" s="183"/>
      <c r="G114" s="183">
        <f t="shared" si="23"/>
        <v>11586</v>
      </c>
      <c r="H114" s="181">
        <f t="shared" si="24"/>
        <v>4.2946343018439199E-3</v>
      </c>
      <c r="J114" s="136"/>
      <c r="K114" s="136"/>
      <c r="M114" s="237">
        <f t="shared" si="25"/>
        <v>0.79009819967266781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'[13]Sch C'!D123</f>
        <v>15426</v>
      </c>
      <c r="D115" s="273">
        <f>'[13]Sch C'!F123</f>
        <v>0</v>
      </c>
      <c r="E115" s="259">
        <f t="shared" si="22"/>
        <v>15426</v>
      </c>
      <c r="F115" s="183"/>
      <c r="G115" s="183">
        <f t="shared" si="23"/>
        <v>15426</v>
      </c>
      <c r="H115" s="181">
        <f t="shared" si="24"/>
        <v>5.718024230989497E-3</v>
      </c>
      <c r="J115" s="136"/>
      <c r="K115" s="136"/>
      <c r="M115" s="237">
        <f t="shared" si="25"/>
        <v>1.0519639934533551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'[13]Sch C'!D124</f>
        <v>0</v>
      </c>
      <c r="D116" s="273">
        <f>'[13]Sch C'!F124</f>
        <v>0</v>
      </c>
      <c r="E116" s="259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'[13]Sch C'!D125</f>
        <v>1328</v>
      </c>
      <c r="D117" s="273">
        <f>'[13]Sch C'!F125</f>
        <v>0</v>
      </c>
      <c r="E117" s="259">
        <f t="shared" si="22"/>
        <v>1328</v>
      </c>
      <c r="F117" s="183"/>
      <c r="G117" s="183">
        <f t="shared" si="23"/>
        <v>1328</v>
      </c>
      <c r="H117" s="181">
        <f t="shared" si="24"/>
        <v>4.9225568382951204E-4</v>
      </c>
      <c r="J117" s="136"/>
      <c r="K117" s="136"/>
      <c r="M117" s="237">
        <f t="shared" si="25"/>
        <v>9.056192034915439E-2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84134</v>
      </c>
      <c r="D118" s="273">
        <f>SUM(D113:D117)</f>
        <v>11586</v>
      </c>
      <c r="E118" s="183">
        <f>SUM(E113:E117)</f>
        <v>95720</v>
      </c>
      <c r="F118" s="183">
        <f>SUM(F113:F117)</f>
        <v>0</v>
      </c>
      <c r="G118" s="183">
        <f t="shared" si="23"/>
        <v>95720</v>
      </c>
      <c r="H118" s="181">
        <f t="shared" si="24"/>
        <v>3.5480959379639222E-2</v>
      </c>
      <c r="J118" s="136"/>
      <c r="K118" s="136"/>
      <c r="M118" s="237">
        <f t="shared" si="25"/>
        <v>6.5275504637206767</v>
      </c>
      <c r="N118" s="243">
        <f>SUMMARY!M118</f>
        <v>3.1676887539780583</v>
      </c>
      <c r="O118" s="238">
        <f>M118/N118-1</f>
        <v>1.0606666155326101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'[13]Sch C'!D129</f>
        <v>9351</v>
      </c>
      <c r="D121" s="273">
        <f>'[13]Sch C'!F129</f>
        <v>0</v>
      </c>
      <c r="E121" s="259">
        <f t="shared" ref="E121:E131" si="26">SUM(C121:D121)</f>
        <v>9351</v>
      </c>
      <c r="F121" s="180"/>
      <c r="G121" s="180">
        <f>IF(ISERROR(E121+F121),"",(E121+F121))</f>
        <v>9351</v>
      </c>
      <c r="H121" s="181">
        <f>IF(ISERROR(G121/$G$183),"",(G121/$G$183))</f>
        <v>3.4661768821459085E-3</v>
      </c>
      <c r="J121" s="261">
        <v>641</v>
      </c>
      <c r="K121" s="261">
        <v>641</v>
      </c>
      <c r="M121" s="237">
        <f t="shared" ref="M121:M131" si="27">IFERROR(G121/G$198,0)</f>
        <v>0.63768412438625199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'[13]Sch C'!D130</f>
        <v>0</v>
      </c>
      <c r="D122" s="273">
        <f>'[13]Sch C'!F130</f>
        <v>1608</v>
      </c>
      <c r="E122" s="259">
        <f t="shared" si="26"/>
        <v>1608</v>
      </c>
      <c r="F122" s="180"/>
      <c r="G122" s="180">
        <f t="shared" ref="G122:G131" si="28">IF(ISERROR(E122+F122),"",(E122+F122))</f>
        <v>1608</v>
      </c>
      <c r="H122" s="181">
        <f t="shared" ref="H122:H131" si="29">IF(ISERROR(G122/$G$183),"",(G122/$G$183))</f>
        <v>5.9604453282971026E-4</v>
      </c>
      <c r="J122" s="136"/>
      <c r="K122" s="136"/>
      <c r="M122" s="237">
        <f t="shared" si="27"/>
        <v>0.10965630114566285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'[13]Sch C'!D131</f>
        <v>561293</v>
      </c>
      <c r="D123" s="273">
        <f>'[13]Sch C'!F131</f>
        <v>0</v>
      </c>
      <c r="E123" s="259">
        <f t="shared" si="26"/>
        <v>561293</v>
      </c>
      <c r="F123" s="180"/>
      <c r="G123" s="180">
        <f t="shared" si="28"/>
        <v>561293</v>
      </c>
      <c r="H123" s="181">
        <f t="shared" si="29"/>
        <v>0.20805698007810111</v>
      </c>
      <c r="J123" s="261">
        <v>60175</v>
      </c>
      <c r="K123" s="261">
        <v>60351</v>
      </c>
      <c r="M123" s="237">
        <f t="shared" si="27"/>
        <v>38.276936715766503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'[13]Sch C'!D132</f>
        <v>0</v>
      </c>
      <c r="D124" s="273">
        <f>'[13]Sch C'!F132</f>
        <v>96513</v>
      </c>
      <c r="E124" s="259">
        <f t="shared" si="26"/>
        <v>96513</v>
      </c>
      <c r="F124" s="180"/>
      <c r="G124" s="180">
        <f t="shared" si="28"/>
        <v>96513</v>
      </c>
      <c r="H124" s="181">
        <f t="shared" si="29"/>
        <v>3.5774904226986211E-2</v>
      </c>
      <c r="J124" s="136"/>
      <c r="K124" s="136"/>
      <c r="M124" s="237">
        <f t="shared" si="27"/>
        <v>6.581628477905074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'[13]Sch C'!D133</f>
        <v>22314</v>
      </c>
      <c r="D125" s="273">
        <f>'[13]Sch C'!F133</f>
        <v>0</v>
      </c>
      <c r="E125" s="259">
        <f t="shared" si="26"/>
        <v>22314</v>
      </c>
      <c r="F125" s="180"/>
      <c r="G125" s="180">
        <f t="shared" si="28"/>
        <v>22314</v>
      </c>
      <c r="H125" s="181">
        <f t="shared" si="29"/>
        <v>8.271229916394375E-3</v>
      </c>
      <c r="J125" s="261">
        <v>0</v>
      </c>
      <c r="K125" s="261">
        <v>0</v>
      </c>
      <c r="M125" s="237">
        <f t="shared" si="27"/>
        <v>1.5216857610474632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'[13]Sch C'!D134</f>
        <v>67051</v>
      </c>
      <c r="D126" s="273">
        <f>'[13]Sch C'!F134</f>
        <v>0</v>
      </c>
      <c r="E126" s="259">
        <f t="shared" si="26"/>
        <v>67051</v>
      </c>
      <c r="F126" s="180"/>
      <c r="G126" s="180">
        <f t="shared" si="28"/>
        <v>67051</v>
      </c>
      <c r="H126" s="181">
        <f t="shared" si="29"/>
        <v>2.4854093265401059E-2</v>
      </c>
      <c r="J126" s="136"/>
      <c r="K126" s="136"/>
      <c r="M126" s="237">
        <f t="shared" si="27"/>
        <v>4.5724904528096015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'[13]Sch C'!D135</f>
        <v>997</v>
      </c>
      <c r="D127" s="273">
        <f>'[13]Sch C'!F135</f>
        <v>0</v>
      </c>
      <c r="E127" s="259">
        <f t="shared" si="26"/>
        <v>997</v>
      </c>
      <c r="F127" s="180"/>
      <c r="G127" s="180">
        <f t="shared" si="28"/>
        <v>997</v>
      </c>
      <c r="H127" s="181">
        <f t="shared" si="29"/>
        <v>3.6956243733284901E-4</v>
      </c>
      <c r="J127" s="136"/>
      <c r="K127" s="136"/>
      <c r="M127" s="237">
        <f t="shared" si="27"/>
        <v>6.7989634478996183E-2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'[13]Sch C'!D136</f>
        <v>0</v>
      </c>
      <c r="D128" s="273">
        <f>'[13]Sch C'!F136</f>
        <v>0</v>
      </c>
      <c r="E128" s="259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'[13]Sch C'!D137</f>
        <v>15011</v>
      </c>
      <c r="D129" s="273">
        <f>'[13]Sch C'!F137</f>
        <v>0</v>
      </c>
      <c r="E129" s="259">
        <f t="shared" si="26"/>
        <v>15011</v>
      </c>
      <c r="F129" s="180"/>
      <c r="G129" s="180">
        <f t="shared" si="28"/>
        <v>15011</v>
      </c>
      <c r="H129" s="181">
        <f t="shared" si="29"/>
        <v>5.5641943297927744E-3</v>
      </c>
      <c r="J129" s="136"/>
      <c r="K129" s="136"/>
      <c r="M129" s="237">
        <f t="shared" si="27"/>
        <v>1.0236633933442445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'[13]Sch C'!D138</f>
        <v>155</v>
      </c>
      <c r="D130" s="273">
        <f>'[13]Sch C'!F138</f>
        <v>0</v>
      </c>
      <c r="E130" s="259">
        <f t="shared" si="26"/>
        <v>155</v>
      </c>
      <c r="F130" s="180"/>
      <c r="G130" s="180">
        <f t="shared" si="28"/>
        <v>155</v>
      </c>
      <c r="H130" s="181">
        <f t="shared" si="29"/>
        <v>5.7454541410824067E-5</v>
      </c>
      <c r="J130" s="136"/>
      <c r="K130" s="136"/>
      <c r="M130" s="237">
        <f t="shared" si="27"/>
        <v>1.0570103655210038E-2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'[13]Sch C'!D139</f>
        <v>0</v>
      </c>
      <c r="D131" s="273">
        <f>'[13]Sch C'!F139</f>
        <v>0</v>
      </c>
      <c r="E131" s="259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'[13]Sch C'!D141</f>
        <v>0</v>
      </c>
      <c r="D133" s="273">
        <f>'[13]Sch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'[13]Sch C'!D142</f>
        <v>0</v>
      </c>
      <c r="D134" s="273">
        <f>'[13]Sch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'[13]Sch C'!D143</f>
        <v>0</v>
      </c>
      <c r="D135" s="273">
        <f>'[13]Sch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'[13]Sch C'!D144</f>
        <v>0</v>
      </c>
      <c r="D136" s="273">
        <f>'[13]Sch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'[13]Sch C'!D145</f>
        <v>0</v>
      </c>
      <c r="D137" s="273">
        <f>'[13]Sch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'[13]Sch C'!D146</f>
        <v>9986</v>
      </c>
      <c r="D138" s="273">
        <f>'[13]Sch C'!F146</f>
        <v>0</v>
      </c>
      <c r="E138" s="259">
        <f t="shared" si="30"/>
        <v>9986</v>
      </c>
      <c r="F138" s="183"/>
      <c r="G138" s="183">
        <f>IF(ISERROR(E138+F138),"",(E138+F138))</f>
        <v>9986</v>
      </c>
      <c r="H138" s="181">
        <f t="shared" si="31"/>
        <v>3.7015551646999299E-3</v>
      </c>
      <c r="J138" s="136"/>
      <c r="K138" s="136"/>
      <c r="M138" s="237">
        <f t="shared" si="32"/>
        <v>0.680987452264048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686158</v>
      </c>
      <c r="D139" s="273">
        <f>SUM(D121:D138)</f>
        <v>98121</v>
      </c>
      <c r="E139" s="182">
        <f>SUM(E121:E138)</f>
        <v>784279</v>
      </c>
      <c r="F139" s="182">
        <f>SUM(F121:F138)</f>
        <v>0</v>
      </c>
      <c r="G139" s="183">
        <f t="shared" si="33"/>
        <v>784279</v>
      </c>
      <c r="H139" s="181">
        <f t="shared" si="31"/>
        <v>0.29071219537509474</v>
      </c>
      <c r="J139" s="136"/>
      <c r="K139" s="136"/>
      <c r="M139" s="237">
        <f t="shared" si="32"/>
        <v>53.483292416803053</v>
      </c>
      <c r="N139" s="243">
        <f>SUMMARY!M139</f>
        <v>37.231450929246826</v>
      </c>
      <c r="O139" s="238">
        <f>M139/N139-1</f>
        <v>0.43650841108611593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'[13]Sch C'!D150</f>
        <v>22585</v>
      </c>
      <c r="D142" s="273">
        <f>'[13]Sch C'!F150</f>
        <v>0</v>
      </c>
      <c r="E142" s="259">
        <f t="shared" ref="E142:E146" si="34">SUM(C142:D142)</f>
        <v>22585</v>
      </c>
      <c r="F142" s="180"/>
      <c r="G142" s="180">
        <f t="shared" ref="G142:G147" si="35">IF(ISERROR(E142+F142),"",(E142+F142))</f>
        <v>22585</v>
      </c>
      <c r="H142" s="181">
        <f t="shared" ref="H142:H147" si="36">IF(ISERROR(G142/$G$183),"",(G142/$G$183))</f>
        <v>8.3716826952481387E-3</v>
      </c>
      <c r="J142" s="261">
        <v>1853</v>
      </c>
      <c r="K142" s="261">
        <v>1853</v>
      </c>
      <c r="M142" s="237">
        <f t="shared" ref="M142:M147" si="37">IFERROR(G142/G$198,0)</f>
        <v>1.540166393889798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'[13]Sch C'!D151</f>
        <v>0</v>
      </c>
      <c r="D143" s="273">
        <f>'[13]Sch C'!F151</f>
        <v>3883</v>
      </c>
      <c r="E143" s="259">
        <f t="shared" si="34"/>
        <v>3883</v>
      </c>
      <c r="F143" s="183"/>
      <c r="G143" s="183">
        <f t="shared" si="35"/>
        <v>3883</v>
      </c>
      <c r="H143" s="181">
        <f t="shared" si="36"/>
        <v>1.4393289309563215E-3</v>
      </c>
      <c r="J143" s="136"/>
      <c r="K143" s="136"/>
      <c r="M143" s="237">
        <f t="shared" si="37"/>
        <v>0.26479814511729405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'[13]Sch C'!D152</f>
        <v>0</v>
      </c>
      <c r="D144" s="273">
        <f>'[13]Sch C'!F152</f>
        <v>0</v>
      </c>
      <c r="E144" s="259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'[13]Sch C'!D153</f>
        <v>10</v>
      </c>
      <c r="D145" s="273">
        <f>'[13]Sch C'!F153</f>
        <v>0</v>
      </c>
      <c r="E145" s="259">
        <f t="shared" si="34"/>
        <v>10</v>
      </c>
      <c r="F145" s="183"/>
      <c r="G145" s="183">
        <f t="shared" si="35"/>
        <v>10</v>
      </c>
      <c r="H145" s="181">
        <f t="shared" si="36"/>
        <v>3.7067446071499398E-6</v>
      </c>
      <c r="J145" s="136"/>
      <c r="K145" s="136"/>
      <c r="M145" s="237">
        <f t="shared" si="37"/>
        <v>6.8194217130387348E-4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'[13]Sch C'!D154</f>
        <v>1420</v>
      </c>
      <c r="D146" s="273">
        <f>'[13]Sch C'!F154</f>
        <v>0</v>
      </c>
      <c r="E146" s="259">
        <f t="shared" si="34"/>
        <v>1420</v>
      </c>
      <c r="F146" s="183"/>
      <c r="G146" s="183">
        <f t="shared" si="35"/>
        <v>1420</v>
      </c>
      <c r="H146" s="181">
        <f t="shared" si="36"/>
        <v>5.263577342152914E-4</v>
      </c>
      <c r="J146" s="136"/>
      <c r="K146" s="136"/>
      <c r="M146" s="237">
        <f t="shared" si="37"/>
        <v>9.6835788325150024E-2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24015</v>
      </c>
      <c r="D147" s="273">
        <f>SUM(D142:D146)</f>
        <v>3883</v>
      </c>
      <c r="E147" s="183">
        <f>SUM(E142:E146)</f>
        <v>27898</v>
      </c>
      <c r="F147" s="183">
        <f>SUM(F142:F146)</f>
        <v>0</v>
      </c>
      <c r="G147" s="183">
        <f t="shared" si="35"/>
        <v>27898</v>
      </c>
      <c r="H147" s="204">
        <f t="shared" si="36"/>
        <v>1.0341076105026901E-2</v>
      </c>
      <c r="J147" s="136"/>
      <c r="K147" s="136"/>
      <c r="M147" s="237">
        <f t="shared" si="37"/>
        <v>1.9024822695035462</v>
      </c>
      <c r="N147" s="243">
        <f>SUMMARY!M147</f>
        <v>3.5319826687546212</v>
      </c>
      <c r="O147" s="238">
        <f>M147/N147-1</f>
        <v>-0.46135571775770845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'[13]Sch C'!D158</f>
        <v>115825</v>
      </c>
      <c r="D150" s="273">
        <f>'[13]Sch C'!F158</f>
        <v>0</v>
      </c>
      <c r="E150" s="259">
        <f t="shared" ref="E150:E163" si="38">SUM(C150:D150)</f>
        <v>115825</v>
      </c>
      <c r="F150" s="183"/>
      <c r="G150" s="183">
        <f>IF(ISERROR(E150+F150),"",(E150+F150))</f>
        <v>115825</v>
      </c>
      <c r="H150" s="181">
        <f>IF(ISERROR(G150/$G$183),"",(G150/$G$183))</f>
        <v>4.2933369412314175E-2</v>
      </c>
      <c r="J150" s="261">
        <v>5319</v>
      </c>
      <c r="K150" s="261">
        <v>5351</v>
      </c>
      <c r="M150" s="237">
        <f t="shared" ref="M150:M164" si="39">IFERROR(G150/G$198,0)</f>
        <v>7.8985951991271142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'[13]Sch C'!D159</f>
        <v>0</v>
      </c>
      <c r="D151" s="273">
        <f>'[13]Sch C'!F159</f>
        <v>19916</v>
      </c>
      <c r="E151" s="259">
        <f t="shared" si="38"/>
        <v>19916</v>
      </c>
      <c r="F151" s="183"/>
      <c r="G151" s="183">
        <f>IF(ISERROR(E151+F151),"",(E151+F151))</f>
        <v>19916</v>
      </c>
      <c r="H151" s="181">
        <f>IF(ISERROR(G151/$G$183),"",(G151/$G$183))</f>
        <v>7.3823525595998196E-3</v>
      </c>
      <c r="J151" s="136"/>
      <c r="K151" s="136"/>
      <c r="M151" s="237">
        <f t="shared" si="39"/>
        <v>1.3581560283687943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'[13]Sch C'!D160</f>
        <v>2120</v>
      </c>
      <c r="D152" s="273">
        <f>'[13]Sch C'!F160</f>
        <v>0</v>
      </c>
      <c r="E152" s="259">
        <f t="shared" si="38"/>
        <v>2120</v>
      </c>
      <c r="F152" s="183"/>
      <c r="G152" s="183">
        <f t="shared" ref="G152:G163" si="40">IF(ISERROR(E152+F152),"",(E152+F152))</f>
        <v>2120</v>
      </c>
      <c r="H152" s="181">
        <f t="shared" ref="H152:H163" si="41">IF(ISERROR(G152/$G$183),"",(G152/$G$183))</f>
        <v>7.8582985671578722E-4</v>
      </c>
      <c r="J152" s="289"/>
      <c r="K152" s="136"/>
      <c r="M152" s="237">
        <f t="shared" si="39"/>
        <v>0.14457174031642117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'[13]Sch C'!D161</f>
        <v>9574</v>
      </c>
      <c r="D153" s="273">
        <f>'[13]Sch C'!F161</f>
        <v>0</v>
      </c>
      <c r="E153" s="259">
        <f t="shared" si="38"/>
        <v>9574</v>
      </c>
      <c r="F153" s="183"/>
      <c r="G153" s="183">
        <f t="shared" si="40"/>
        <v>9574</v>
      </c>
      <c r="H153" s="181">
        <f t="shared" si="41"/>
        <v>3.5488372868853523E-3</v>
      </c>
      <c r="J153" s="206"/>
      <c r="K153" s="206"/>
      <c r="M153" s="237">
        <f t="shared" si="39"/>
        <v>0.65289143480632839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'[13]Sch C'!D162</f>
        <v>14029</v>
      </c>
      <c r="D154" s="273">
        <f>'[13]Sch C'!F162</f>
        <v>0</v>
      </c>
      <c r="E154" s="259">
        <f t="shared" si="38"/>
        <v>14029</v>
      </c>
      <c r="F154" s="183"/>
      <c r="G154" s="183">
        <f t="shared" si="40"/>
        <v>14029</v>
      </c>
      <c r="H154" s="181">
        <f t="shared" si="41"/>
        <v>5.2001920093706503E-3</v>
      </c>
      <c r="J154" s="206"/>
      <c r="K154" s="206"/>
      <c r="M154" s="237">
        <f t="shared" si="39"/>
        <v>0.95669667212220399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'[13]Sch C'!D163</f>
        <v>0</v>
      </c>
      <c r="D155" s="273">
        <f>'[13]Sch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'[13]Sch C'!D164</f>
        <v>19498</v>
      </c>
      <c r="D156" s="273">
        <f>'[13]Sch C'!F164</f>
        <v>0</v>
      </c>
      <c r="E156" s="259">
        <f t="shared" si="38"/>
        <v>19498</v>
      </c>
      <c r="F156" s="183"/>
      <c r="G156" s="183">
        <f t="shared" si="40"/>
        <v>19498</v>
      </c>
      <c r="H156" s="181">
        <f t="shared" si="41"/>
        <v>7.2274106350209526E-3</v>
      </c>
      <c r="J156" s="206"/>
      <c r="K156" s="206"/>
      <c r="M156" s="237">
        <f t="shared" si="39"/>
        <v>1.3296508456082925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'[13]Sch C'!D165</f>
        <v>9390</v>
      </c>
      <c r="D157" s="273">
        <f>'[13]Sch C'!F165</f>
        <v>0</v>
      </c>
      <c r="E157" s="259">
        <f t="shared" si="38"/>
        <v>9390</v>
      </c>
      <c r="F157" s="183"/>
      <c r="G157" s="183">
        <f t="shared" si="40"/>
        <v>9390</v>
      </c>
      <c r="H157" s="181">
        <f t="shared" si="41"/>
        <v>3.4806331861137936E-3</v>
      </c>
      <c r="J157" s="206"/>
      <c r="K157" s="206"/>
      <c r="M157" s="237">
        <f t="shared" si="39"/>
        <v>0.64034369885433717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'[13]Sch C'!D166</f>
        <v>6090</v>
      </c>
      <c r="D158" s="273">
        <f>'[13]Sch C'!F166</f>
        <v>0</v>
      </c>
      <c r="E158" s="259">
        <f t="shared" si="38"/>
        <v>6090</v>
      </c>
      <c r="F158" s="183"/>
      <c r="G158" s="183">
        <f t="shared" si="40"/>
        <v>6090</v>
      </c>
      <c r="H158" s="181">
        <f t="shared" si="41"/>
        <v>2.2574074657543131E-3</v>
      </c>
      <c r="J158" s="206"/>
      <c r="K158" s="206"/>
      <c r="M158" s="237">
        <f t="shared" si="39"/>
        <v>0.41530278232405893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'[13]Sch C'!D167</f>
        <v>251912</v>
      </c>
      <c r="D159" s="273">
        <f>'[13]Sch C'!F167</f>
        <v>0</v>
      </c>
      <c r="E159" s="259">
        <f t="shared" si="38"/>
        <v>251912</v>
      </c>
      <c r="F159" s="183"/>
      <c r="G159" s="183">
        <f t="shared" si="40"/>
        <v>251912</v>
      </c>
      <c r="H159" s="181">
        <f t="shared" si="41"/>
        <v>9.3377344747635566E-2</v>
      </c>
      <c r="J159" s="206"/>
      <c r="K159" s="206"/>
      <c r="M159" s="237">
        <f t="shared" si="39"/>
        <v>17.178941625750138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'[13]Sch C'!D168</f>
        <v>0</v>
      </c>
      <c r="D160" s="273">
        <f>'[13]Sch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'[13]Sch C'!D169</f>
        <v>45</v>
      </c>
      <c r="D161" s="273">
        <f>'[13]Sch C'!F169</f>
        <v>0</v>
      </c>
      <c r="E161" s="259">
        <f t="shared" si="38"/>
        <v>45</v>
      </c>
      <c r="F161" s="183"/>
      <c r="G161" s="183">
        <f t="shared" si="40"/>
        <v>45</v>
      </c>
      <c r="H161" s="181">
        <f t="shared" si="41"/>
        <v>1.6680350732174728E-5</v>
      </c>
      <c r="J161" s="136"/>
      <c r="K161" s="136"/>
      <c r="M161" s="237">
        <f t="shared" si="39"/>
        <v>3.0687397708674302E-3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'[13]Sch C'!D170</f>
        <v>0</v>
      </c>
      <c r="D162" s="273">
        <f>'[13]Sch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'[13]Sch C'!D171</f>
        <v>8613</v>
      </c>
      <c r="D163" s="273">
        <f>'[13]Sch C'!F171</f>
        <v>0</v>
      </c>
      <c r="E163" s="259">
        <f t="shared" si="38"/>
        <v>8613</v>
      </c>
      <c r="F163" s="183"/>
      <c r="G163" s="183">
        <f t="shared" si="40"/>
        <v>8613</v>
      </c>
      <c r="H163" s="181">
        <f t="shared" si="41"/>
        <v>3.1926191301382429E-3</v>
      </c>
      <c r="J163" s="317"/>
      <c r="K163" s="136"/>
      <c r="M163" s="237">
        <f t="shared" si="39"/>
        <v>0.58735679214402614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437096</v>
      </c>
      <c r="D164" s="273">
        <f>SUM(D150:D163)</f>
        <v>19916</v>
      </c>
      <c r="E164" s="183">
        <f>SUM(E150:E163)</f>
        <v>457012</v>
      </c>
      <c r="F164" s="183">
        <f>SUM(F150:F163)</f>
        <v>0</v>
      </c>
      <c r="G164" s="183">
        <f>IF(ISERROR(E164+F164),"",(E164+F164))</f>
        <v>457012</v>
      </c>
      <c r="H164" s="181">
        <f>IF(ISERROR(G164/$G$183),"",(G164/$G$183))</f>
        <v>0.16940267664028083</v>
      </c>
      <c r="J164" s="136"/>
      <c r="K164" s="136"/>
      <c r="M164" s="237">
        <f t="shared" si="39"/>
        <v>31.165575559192579</v>
      </c>
      <c r="N164" s="243">
        <f>SUMMARY!M164</f>
        <v>48.166333206280392</v>
      </c>
      <c r="O164" s="238">
        <f>M164/N164-1</f>
        <v>-0.35295934972419885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'[13]Sch C'!D186</f>
        <v>0</v>
      </c>
      <c r="D167" s="273">
        <f>'[13]Sch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'[13]Sch C'!D187</f>
        <v>0</v>
      </c>
      <c r="D168" s="273">
        <f>'[13]Sch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'[13]Sch C'!D188</f>
        <v>0</v>
      </c>
      <c r="D169" s="273">
        <f>'[13]Sch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'[13]Sch C'!D189</f>
        <v>6500</v>
      </c>
      <c r="D170" s="273">
        <f>'[13]Sch C'!F189</f>
        <v>0</v>
      </c>
      <c r="E170" s="259">
        <f t="shared" si="42"/>
        <v>6500</v>
      </c>
      <c r="F170" s="183"/>
      <c r="G170" s="183">
        <f>IF(ISERROR(E170+F170),"",(E170+F170))</f>
        <v>6500</v>
      </c>
      <c r="H170" s="181">
        <f>IF(ISERROR(G170/$G$183),"",(G170/$G$183))</f>
        <v>2.4093839946474609E-3</v>
      </c>
      <c r="I170" s="215"/>
      <c r="J170" s="211"/>
      <c r="K170" s="42"/>
      <c r="M170" s="237">
        <f t="shared" si="43"/>
        <v>0.4432624113475177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'[13]Sch C'!D190</f>
        <v>33</v>
      </c>
      <c r="D171" s="273">
        <f>'[13]Sch C'!F190</f>
        <v>0</v>
      </c>
      <c r="E171" s="259">
        <f t="shared" si="42"/>
        <v>33</v>
      </c>
      <c r="F171" s="183"/>
      <c r="G171" s="183">
        <f>IF(ISERROR(E171+F171),"",(E171+F171))</f>
        <v>33</v>
      </c>
      <c r="H171" s="181">
        <f>IF(ISERROR(G171/$G$183),"",(G171/$G$183))</f>
        <v>1.2232257203594801E-5</v>
      </c>
      <c r="I171" s="215"/>
      <c r="J171" s="211"/>
      <c r="K171" s="42"/>
      <c r="M171" s="237">
        <f t="shared" si="43"/>
        <v>2.2504091653027824E-3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'[13]Sch C'!D191</f>
        <v>0</v>
      </c>
      <c r="D172" s="273">
        <f>'[13]Sch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'[13]Sch C'!D192</f>
        <v>0</v>
      </c>
      <c r="D173" s="273">
        <f>'[13]Sch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'[13]Sch C'!D193</f>
        <v>0</v>
      </c>
      <c r="D174" s="273">
        <f>'[13]Sch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'[13]Sch C'!D194</f>
        <v>0</v>
      </c>
      <c r="D175" s="273">
        <f>'[13]Sch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'[13]Sch C'!D195</f>
        <v>0</v>
      </c>
      <c r="D176" s="273">
        <f>'[13]Sch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'[13]Sch C'!D196</f>
        <v>0</v>
      </c>
      <c r="D177" s="273">
        <f>'[13]Sch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'[13]Sch C'!D197</f>
        <v>4222</v>
      </c>
      <c r="D178" s="273">
        <f>'[13]Sch C'!F197</f>
        <v>0</v>
      </c>
      <c r="E178" s="259">
        <f t="shared" si="42"/>
        <v>4222</v>
      </c>
      <c r="F178" s="183"/>
      <c r="G178" s="183">
        <f t="shared" si="44"/>
        <v>4222</v>
      </c>
      <c r="H178" s="181">
        <f t="shared" si="45"/>
        <v>1.5649875731387046E-3</v>
      </c>
      <c r="I178" s="215"/>
      <c r="J178" s="211"/>
      <c r="K178" s="42"/>
      <c r="M178" s="237">
        <f t="shared" si="43"/>
        <v>0.28791598472449537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'[13]Sch C'!D198</f>
        <v>0</v>
      </c>
      <c r="D179" s="273">
        <f>'[13]Sch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'[13]Sch C'!D199</f>
        <v>0</v>
      </c>
      <c r="D180" s="273">
        <f>'[13]Sch C'!F199</f>
        <v>0</v>
      </c>
      <c r="E180" s="259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10755</v>
      </c>
      <c r="D181" s="273">
        <f>SUM(D167:D180)</f>
        <v>0</v>
      </c>
      <c r="E181" s="218">
        <f>SUM(E167:E180)</f>
        <v>10755</v>
      </c>
      <c r="F181" s="218">
        <f>SUM(F167:F180)</f>
        <v>0</v>
      </c>
      <c r="G181" s="183">
        <f t="shared" si="44"/>
        <v>10755</v>
      </c>
      <c r="H181" s="181">
        <f>IF(ISERROR(G181/$G$183),"",(G181/$G$183))</f>
        <v>3.9866038249897597E-3</v>
      </c>
      <c r="I181" s="219"/>
      <c r="J181" s="211"/>
      <c r="K181" s="211"/>
      <c r="M181" s="237">
        <f t="shared" si="43"/>
        <v>0.73342880523731591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2726527</v>
      </c>
      <c r="D183" s="273">
        <f>SUM(D21:D181)/2</f>
        <v>-28742</v>
      </c>
      <c r="E183" s="258">
        <f>SUM(E21:E181)/2</f>
        <v>2697785</v>
      </c>
      <c r="F183" s="179">
        <f>SUM(F21:F181)/2</f>
        <v>0</v>
      </c>
      <c r="G183" s="179">
        <f>SUM(G21:G181)/2</f>
        <v>2697785</v>
      </c>
      <c r="H183" s="181">
        <f>IF(ISERROR(G183/$G$183),"",(G183/$G$183))</f>
        <v>1</v>
      </c>
      <c r="J183" s="261">
        <f>SUM(J21:J181)</f>
        <v>108064</v>
      </c>
      <c r="K183" s="261">
        <f>SUM(K21:K181)</f>
        <v>108738</v>
      </c>
      <c r="M183" s="237">
        <f>IFERROR(G183/G$198,0)</f>
        <v>183.97333606110203</v>
      </c>
      <c r="N183" s="243">
        <f>SUMMARY!M183</f>
        <v>169.52310231129192</v>
      </c>
      <c r="P183" s="178">
        <f>SUM(P57:P181)</f>
        <v>2.4000000000000004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'[13]Sch C'!D204</f>
        <v>2726527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197549</v>
      </c>
      <c r="D190" s="273">
        <f>D17-D183</f>
        <v>28742</v>
      </c>
      <c r="E190" s="259">
        <f>E17-E183</f>
        <v>226291</v>
      </c>
      <c r="F190" s="180">
        <f>F17-F183</f>
        <v>0</v>
      </c>
      <c r="G190" s="180">
        <f>G17-G183</f>
        <v>226291</v>
      </c>
      <c r="J190" s="136"/>
      <c r="K190" s="136"/>
      <c r="M190" s="237">
        <f>IFERROR(G190/G$198,0)</f>
        <v>15.431737588652481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'[13]Sch D'!C9</f>
        <v>14664</v>
      </c>
      <c r="D194" s="313"/>
      <c r="E194" s="264">
        <f>C194+D194</f>
        <v>14664</v>
      </c>
      <c r="F194" s="224"/>
      <c r="G194" s="225">
        <f>E194+F194</f>
        <v>14664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'[13]Sch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'[13]Sch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'[13]Sch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14664</v>
      </c>
      <c r="D198" s="313"/>
      <c r="E198" s="265">
        <f>SUM(E194:E197)</f>
        <v>14664</v>
      </c>
      <c r="F198" s="229">
        <f>SUM(F194:F197)</f>
        <v>0</v>
      </c>
      <c r="G198" s="229">
        <f>SUM(G194:G197)</f>
        <v>14664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'[13]Sch D'!G22</f>
        <v>50</v>
      </c>
      <c r="D201" s="312"/>
      <c r="E201" s="264">
        <f>C201+D201</f>
        <v>50</v>
      </c>
      <c r="F201" s="224"/>
      <c r="G201" s="231">
        <f>E201+F201</f>
        <v>50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'[13]Sch D'!G24</f>
        <v>50</v>
      </c>
      <c r="D202" s="312"/>
      <c r="E202" s="264">
        <f>C202+D202</f>
        <v>50</v>
      </c>
      <c r="F202" s="226"/>
      <c r="G202" s="231">
        <f>E202+F202</f>
        <v>50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'[13]Sch D'!G28</f>
        <v>18300</v>
      </c>
      <c r="D205" s="283"/>
      <c r="E205" s="260">
        <f>E201*E203</f>
        <v>18300</v>
      </c>
      <c r="F205" s="260">
        <f>G201*F203</f>
        <v>0</v>
      </c>
      <c r="G205" s="224">
        <f>G201*G203</f>
        <v>18300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'[13]Sch D'!G30</f>
        <v>0.80131147540983605</v>
      </c>
      <c r="D206" s="36"/>
      <c r="E206" s="266">
        <f>IFERROR(E198/E205,"0")</f>
        <v>0.80131147540983605</v>
      </c>
      <c r="F206" s="337" t="str">
        <f>IFERROR(F198/F205,"")</f>
        <v/>
      </c>
      <c r="G206" s="233">
        <f>G198/G205</f>
        <v>0.80131147540983605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'[13]Sch D'!G32</f>
        <v>0.80131147540983605</v>
      </c>
      <c r="D207" s="36"/>
      <c r="E207" s="266">
        <f>IFERROR((E194+E195)/E205,"0")</f>
        <v>0.80131147540983605</v>
      </c>
      <c r="F207" s="337" t="str">
        <f>IFERROR(((F194+F195)/F205),"")</f>
        <v/>
      </c>
      <c r="G207" s="233">
        <f>(G194+G195)/G205</f>
        <v>0.80131147540983605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'[13]Sch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67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9" priority="2" stopIfTrue="1" operator="equal">
      <formula>0</formula>
    </cfRule>
  </conditionalFormatting>
  <conditionalFormatting sqref="C2">
    <cfRule type="cellIs" dxfId="8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FFFF00"/>
    <pageSetUpPr fitToPage="1"/>
  </sheetPr>
  <dimension ref="A1:P213"/>
  <sheetViews>
    <sheetView showGridLines="0" topLeftCell="A193" zoomScale="90" zoomScaleNormal="9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3" t="s">
        <v>365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'[14]Sch B'!E10</f>
        <v>5153094</v>
      </c>
      <c r="D12" s="273">
        <f>'[14]Sch B'!G10</f>
        <v>0</v>
      </c>
      <c r="E12" s="259">
        <f>SUM(C12:D12)</f>
        <v>5153094</v>
      </c>
      <c r="F12" s="180"/>
      <c r="G12" s="180">
        <f>IF(ISERROR(E12+F12)," ",(E12+F12))</f>
        <v>5153094</v>
      </c>
      <c r="H12" s="181">
        <f t="shared" ref="H12:H17" si="0">IF(ISERROR(G12/$G$17),"",(G12/$G$17))</f>
        <v>0.97325440666749263</v>
      </c>
      <c r="J12" s="246" t="s">
        <v>346</v>
      </c>
      <c r="K12" s="247">
        <f>G17</f>
        <v>5294704</v>
      </c>
      <c r="M12" s="237">
        <f>IFERROR(G12/G$194,0)</f>
        <v>185.13001616669661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'[14]Sch B'!E15</f>
        <v>0</v>
      </c>
      <c r="D13" s="273">
        <f>'[14]Sch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4610929.8100000005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'[14]Sch B'!E20</f>
        <v>11157</v>
      </c>
      <c r="D14" s="273">
        <f>'[14]Sch B'!G20</f>
        <v>0</v>
      </c>
      <c r="E14" s="259">
        <f t="shared" si="1"/>
        <v>11157</v>
      </c>
      <c r="F14" s="183"/>
      <c r="G14" s="183">
        <f>IF(ISERROR(E14+F14),"",(E14+F14))</f>
        <v>11157</v>
      </c>
      <c r="H14" s="184">
        <f t="shared" si="0"/>
        <v>2.1071999492322893E-3</v>
      </c>
      <c r="J14" s="248" t="s">
        <v>348</v>
      </c>
      <c r="K14" s="249">
        <f>G198</f>
        <v>27896</v>
      </c>
      <c r="M14" s="237">
        <f>IFERROR(G14/G$196,0)</f>
        <v>182.90163934426229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'[14]Sch B'!E25</f>
        <v>0</v>
      </c>
      <c r="D15" s="273">
        <f>'[14]Sch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82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'[14]Sch B'!E40</f>
        <v>143549</v>
      </c>
      <c r="D16" s="273">
        <f>'[14]Sch B'!G40</f>
        <v>-13096</v>
      </c>
      <c r="E16" s="259">
        <f t="shared" si="1"/>
        <v>130453</v>
      </c>
      <c r="F16" s="183"/>
      <c r="G16" s="183">
        <f>IF(ISERROR(E16+F16),"",(E16+F16))</f>
        <v>130453</v>
      </c>
      <c r="H16" s="184">
        <f t="shared" si="0"/>
        <v>2.4638393383275062E-2</v>
      </c>
      <c r="J16" s="248" t="s">
        <v>350</v>
      </c>
      <c r="K16" s="249">
        <f>G205</f>
        <v>30012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5307800</v>
      </c>
      <c r="D17" s="273">
        <f>SUM(D12:D16)</f>
        <v>-13096</v>
      </c>
      <c r="E17" s="183">
        <f>SUM(E12:E16)</f>
        <v>5294704</v>
      </c>
      <c r="F17" s="183">
        <f>SUM(F12:F16)</f>
        <v>0</v>
      </c>
      <c r="G17" s="183">
        <f>IF(ISERROR(E17+F17),"",(E17+F17))</f>
        <v>5294704</v>
      </c>
      <c r="H17" s="184">
        <f t="shared" si="0"/>
        <v>1</v>
      </c>
      <c r="J17" s="248"/>
      <c r="K17" s="249"/>
      <c r="M17" s="237">
        <f>IFERROR(G17/G$198,0)</f>
        <v>189.80154860911958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182717.72999999998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194102.88999999998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'[14]Sch C'!D10</f>
        <v>77766</v>
      </c>
      <c r="D21" s="273">
        <f>'[14]Sch C'!F10</f>
        <v>5801.01</v>
      </c>
      <c r="E21" s="259">
        <f t="shared" ref="E21:E56" si="2">SUM(C21:D21)</f>
        <v>83567.009999999995</v>
      </c>
      <c r="F21" s="180"/>
      <c r="G21" s="180">
        <f t="shared" ref="G21:G57" si="3">IF(ISERROR(E21+F21),"",(E21+F21))</f>
        <v>83567.009999999995</v>
      </c>
      <c r="H21" s="181">
        <f>IF(ISERROR(G21/$G$183),"",(G21/$G$183))</f>
        <v>1.8123678616569525E-2</v>
      </c>
      <c r="J21" s="261">
        <v>1855.08</v>
      </c>
      <c r="K21" s="261">
        <v>2116.08</v>
      </c>
      <c r="M21" s="237">
        <f>IFERROR(G21/G$198,0)</f>
        <v>2.9956628190421566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'[14]Sch C'!D11</f>
        <v>0</v>
      </c>
      <c r="D22" s="273">
        <f>'[14]Sch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'[14]Sch C'!D12</f>
        <v>62113</v>
      </c>
      <c r="D23" s="273">
        <f>'[14]Sch C'!F12</f>
        <v>4633.3599999999997</v>
      </c>
      <c r="E23" s="259">
        <f t="shared" si="2"/>
        <v>66746.36</v>
      </c>
      <c r="F23" s="183"/>
      <c r="G23" s="183">
        <f t="shared" si="3"/>
        <v>66746.36</v>
      </c>
      <c r="H23" s="181">
        <f t="shared" si="4"/>
        <v>1.447568337632101E-2</v>
      </c>
      <c r="J23" s="189">
        <v>3967.05</v>
      </c>
      <c r="K23" s="189">
        <v>4299.8999999999996</v>
      </c>
      <c r="M23" s="237">
        <f t="shared" si="5"/>
        <v>2.3926856897046171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'[14]Sch C'!D13</f>
        <v>555692</v>
      </c>
      <c r="D24" s="273">
        <f>'[14]Sch C'!F13</f>
        <v>-527789.97</v>
      </c>
      <c r="E24" s="259">
        <f t="shared" si="2"/>
        <v>27902.030000000028</v>
      </c>
      <c r="F24" s="183"/>
      <c r="G24" s="183">
        <f t="shared" si="3"/>
        <v>27902.030000000028</v>
      </c>
      <c r="H24" s="181">
        <f t="shared" si="4"/>
        <v>6.0512805767477139E-3</v>
      </c>
      <c r="J24" s="136"/>
      <c r="K24" s="136"/>
      <c r="M24" s="237">
        <f t="shared" si="5"/>
        <v>1.0002161600229433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'[14]Sch C'!D14</f>
        <v>21292</v>
      </c>
      <c r="D25" s="273">
        <f>'[14]Sch C'!F14</f>
        <v>0</v>
      </c>
      <c r="E25" s="259">
        <f t="shared" si="2"/>
        <v>21292</v>
      </c>
      <c r="F25" s="183"/>
      <c r="G25" s="183">
        <f t="shared" si="3"/>
        <v>21292</v>
      </c>
      <c r="H25" s="181">
        <f t="shared" si="4"/>
        <v>4.6177237297828216E-3</v>
      </c>
      <c r="J25" s="136"/>
      <c r="K25" s="136"/>
      <c r="M25" s="237">
        <f t="shared" si="5"/>
        <v>0.76326355032979643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'[14]Sch C'!D15</f>
        <v>0</v>
      </c>
      <c r="D26" s="273">
        <f>'[14]Sch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'[14]Sch C'!D16</f>
        <v>377400</v>
      </c>
      <c r="D27" s="273">
        <f>'[14]Sch C'!F16</f>
        <v>-46353.530000000028</v>
      </c>
      <c r="E27" s="259">
        <f t="shared" si="2"/>
        <v>331046.46999999997</v>
      </c>
      <c r="F27" s="183"/>
      <c r="G27" s="183">
        <f t="shared" si="3"/>
        <v>331046.46999999997</v>
      </c>
      <c r="H27" s="181">
        <f t="shared" si="4"/>
        <v>7.179603326037183E-2</v>
      </c>
      <c r="J27" s="136"/>
      <c r="K27" s="136"/>
      <c r="M27" s="237">
        <f t="shared" si="5"/>
        <v>11.867166260395754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'[14]Sch C'!D17</f>
        <v>0</v>
      </c>
      <c r="D28" s="273">
        <f>'[14]Sch C'!F17</f>
        <v>0</v>
      </c>
      <c r="E28" s="259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37">
        <f t="shared" si="5"/>
        <v>0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'[14]Sch C'!D18</f>
        <v>8822</v>
      </c>
      <c r="D29" s="273">
        <f>'[14]Sch C'!F18</f>
        <v>0</v>
      </c>
      <c r="E29" s="259">
        <f t="shared" si="2"/>
        <v>8822</v>
      </c>
      <c r="F29" s="183"/>
      <c r="G29" s="183">
        <f t="shared" si="3"/>
        <v>8822</v>
      </c>
      <c r="H29" s="181">
        <f t="shared" si="4"/>
        <v>1.9132800462213064E-3</v>
      </c>
      <c r="J29" s="136"/>
      <c r="K29" s="136"/>
      <c r="M29" s="237">
        <f t="shared" si="5"/>
        <v>0.31624605678233436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'[14]Sch C'!D19</f>
        <v>14054</v>
      </c>
      <c r="D30" s="273">
        <f>'[14]Sch C'!F19</f>
        <v>0</v>
      </c>
      <c r="E30" s="259">
        <f t="shared" si="2"/>
        <v>14054</v>
      </c>
      <c r="F30" s="183"/>
      <c r="G30" s="183">
        <f t="shared" si="3"/>
        <v>14054</v>
      </c>
      <c r="H30" s="181">
        <f t="shared" si="4"/>
        <v>3.047975262932922E-3</v>
      </c>
      <c r="J30" s="136"/>
      <c r="K30" s="136"/>
      <c r="M30" s="237">
        <f t="shared" si="5"/>
        <v>0.50379982793232003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'[14]Sch C'!D20</f>
        <v>8965</v>
      </c>
      <c r="D31" s="273">
        <f>'[14]Sch C'!F20</f>
        <v>0</v>
      </c>
      <c r="E31" s="259">
        <f t="shared" si="2"/>
        <v>8965</v>
      </c>
      <c r="F31" s="183"/>
      <c r="G31" s="183">
        <f t="shared" si="3"/>
        <v>8965</v>
      </c>
      <c r="H31" s="181">
        <f t="shared" si="4"/>
        <v>1.9442933138034471E-3</v>
      </c>
      <c r="J31" s="136"/>
      <c r="K31" s="136"/>
      <c r="M31" s="237">
        <f t="shared" si="5"/>
        <v>0.32137223974763407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'[14]Sch C'!D21</f>
        <v>5408</v>
      </c>
      <c r="D32" s="273">
        <f>'[14]Sch C'!F21</f>
        <v>0</v>
      </c>
      <c r="E32" s="259">
        <f t="shared" si="2"/>
        <v>5408</v>
      </c>
      <c r="F32" s="183"/>
      <c r="G32" s="183">
        <f t="shared" si="3"/>
        <v>5408</v>
      </c>
      <c r="H32" s="181">
        <f t="shared" si="4"/>
        <v>1.1728653921973277E-3</v>
      </c>
      <c r="J32" s="136"/>
      <c r="K32" s="136"/>
      <c r="M32" s="237">
        <f t="shared" si="5"/>
        <v>0.19386291941496989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'[14]Sch C'!D22</f>
        <v>0</v>
      </c>
      <c r="D33" s="273">
        <f>'[14]Sch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'[14]Sch C'!D23</f>
        <v>5193</v>
      </c>
      <c r="D34" s="273">
        <f>'[14]Sch C'!F23</f>
        <v>0</v>
      </c>
      <c r="E34" s="259">
        <f t="shared" si="2"/>
        <v>5193</v>
      </c>
      <c r="F34" s="183"/>
      <c r="G34" s="183">
        <f t="shared" si="3"/>
        <v>5193</v>
      </c>
      <c r="H34" s="181">
        <f t="shared" si="4"/>
        <v>1.1262370528255774E-3</v>
      </c>
      <c r="J34" s="136"/>
      <c r="K34" s="136"/>
      <c r="M34" s="237">
        <f t="shared" si="5"/>
        <v>0.18615572125035848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'[14]Sch C'!D24</f>
        <v>0</v>
      </c>
      <c r="D35" s="273">
        <f>'[14]Sch C'!F24</f>
        <v>0</v>
      </c>
      <c r="E35" s="259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'[14]Sch C'!D25</f>
        <v>0</v>
      </c>
      <c r="D36" s="273">
        <f>'[14]Sch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'[14]Sch C'!D26</f>
        <v>236001</v>
      </c>
      <c r="D37" s="273">
        <f>'[14]Sch C'!F26</f>
        <v>0</v>
      </c>
      <c r="E37" s="259">
        <f t="shared" si="2"/>
        <v>236001</v>
      </c>
      <c r="F37" s="183"/>
      <c r="G37" s="183">
        <f t="shared" si="3"/>
        <v>236001</v>
      </c>
      <c r="H37" s="181">
        <f t="shared" si="4"/>
        <v>5.1182952186383419E-2</v>
      </c>
      <c r="J37" s="136"/>
      <c r="K37" s="136"/>
      <c r="M37" s="237">
        <f t="shared" si="5"/>
        <v>8.4600301118439916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'[14]Sch C'!D27</f>
        <v>0</v>
      </c>
      <c r="D38" s="273">
        <f>'[14]Sch C'!F27</f>
        <v>0</v>
      </c>
      <c r="E38" s="259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'[14]Sch C'!D28</f>
        <v>0</v>
      </c>
      <c r="D39" s="273">
        <f>'[14]Sch C'!F28</f>
        <v>0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'[14]Sch C'!D29</f>
        <v>3405</v>
      </c>
      <c r="D40" s="273">
        <f>'[14]Sch C'!F29</f>
        <v>-3405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'[14]Sch C'!D30</f>
        <v>0</v>
      </c>
      <c r="D41" s="273">
        <f>'[14]Sch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'[14]Sch C'!D31</f>
        <v>81273</v>
      </c>
      <c r="D42" s="273">
        <f>'[14]Sch C'!F31</f>
        <v>0</v>
      </c>
      <c r="E42" s="259">
        <f t="shared" si="2"/>
        <v>81273</v>
      </c>
      <c r="F42" s="183"/>
      <c r="G42" s="183">
        <f t="shared" si="3"/>
        <v>81273</v>
      </c>
      <c r="H42" s="181">
        <f t="shared" si="4"/>
        <v>1.7626162910512836E-2</v>
      </c>
      <c r="J42" s="136"/>
      <c r="K42" s="136"/>
      <c r="M42" s="237">
        <f t="shared" si="5"/>
        <v>2.9134284485230859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'[14]Sch C'!D32</f>
        <v>30150</v>
      </c>
      <c r="D43" s="273">
        <f>'[14]Sch C'!F32</f>
        <v>0</v>
      </c>
      <c r="E43" s="259">
        <f t="shared" si="2"/>
        <v>30150</v>
      </c>
      <c r="F43" s="183"/>
      <c r="G43" s="183">
        <f t="shared" si="3"/>
        <v>30150</v>
      </c>
      <c r="H43" s="181">
        <f t="shared" si="4"/>
        <v>6.5388113118989323E-3</v>
      </c>
      <c r="J43" s="136"/>
      <c r="K43" s="136"/>
      <c r="M43" s="237">
        <f t="shared" si="5"/>
        <v>1.0808001147117867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'[14]Sch C'!D33</f>
        <v>0</v>
      </c>
      <c r="D44" s="273">
        <f>'[14]Sch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'[14]Sch C'!D34</f>
        <v>0</v>
      </c>
      <c r="D45" s="273">
        <f>'[14]Sch C'!F34</f>
        <v>0</v>
      </c>
      <c r="E45" s="259">
        <f t="shared" si="2"/>
        <v>0</v>
      </c>
      <c r="F45" s="183"/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'[14]Sch C'!D35</f>
        <v>0</v>
      </c>
      <c r="D46" s="273">
        <f>'[14]Sch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'[14]Sch C'!D36</f>
        <v>31987</v>
      </c>
      <c r="D47" s="273">
        <f>'[14]Sch C'!F36</f>
        <v>3268.59</v>
      </c>
      <c r="E47" s="259">
        <f t="shared" si="2"/>
        <v>35255.589999999997</v>
      </c>
      <c r="F47" s="183"/>
      <c r="G47" s="183">
        <f t="shared" si="3"/>
        <v>35255.589999999997</v>
      </c>
      <c r="H47" s="181">
        <f t="shared" si="4"/>
        <v>7.6460912338199294E-3</v>
      </c>
      <c r="J47" s="261">
        <v>2615.83</v>
      </c>
      <c r="K47" s="261">
        <v>2935.18</v>
      </c>
      <c r="M47" s="237">
        <f t="shared" si="5"/>
        <v>1.2638224118153139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'[14]Sch C'!D37</f>
        <v>0</v>
      </c>
      <c r="D48" s="273">
        <f>'[14]Sch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'[14]Sch C'!D38</f>
        <v>0</v>
      </c>
      <c r="D49" s="273">
        <f>'[14]Sch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'[14]Sch C'!D39</f>
        <v>1731</v>
      </c>
      <c r="D50" s="273">
        <f>'[14]Sch C'!F39</f>
        <v>0</v>
      </c>
      <c r="E50" s="259">
        <f t="shared" si="2"/>
        <v>1731</v>
      </c>
      <c r="F50" s="183"/>
      <c r="G50" s="183">
        <f t="shared" si="3"/>
        <v>1731</v>
      </c>
      <c r="H50" s="181">
        <f t="shared" si="4"/>
        <v>3.7541235094185911E-4</v>
      </c>
      <c r="J50" s="136"/>
      <c r="K50" s="136"/>
      <c r="M50" s="237">
        <f t="shared" si="5"/>
        <v>6.2051907083452824E-2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'[14]Sch C'!D40</f>
        <v>3821</v>
      </c>
      <c r="D51" s="273">
        <f>'[14]Sch C'!F40</f>
        <v>-3821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'[14]Sch C'!D41</f>
        <v>0</v>
      </c>
      <c r="D52" s="273">
        <f>'[14]Sch C'!F41</f>
        <v>0</v>
      </c>
      <c r="E52" s="259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'[14]Sch C'!D42</f>
        <v>4936</v>
      </c>
      <c r="D53" s="273">
        <f>'[14]Sch C'!F42</f>
        <v>0</v>
      </c>
      <c r="E53" s="259">
        <f t="shared" si="2"/>
        <v>4936</v>
      </c>
      <c r="F53" s="183"/>
      <c r="G53" s="183">
        <f t="shared" si="3"/>
        <v>4936</v>
      </c>
      <c r="H53" s="181">
        <f t="shared" si="4"/>
        <v>1.070499921576555E-3</v>
      </c>
      <c r="J53" s="136"/>
      <c r="K53" s="136"/>
      <c r="M53" s="237">
        <f t="shared" si="5"/>
        <v>0.17694293088614854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'[14]Sch C'!D43</f>
        <v>2388</v>
      </c>
      <c r="D54" s="273">
        <f>'[14]Sch C'!F43</f>
        <v>0</v>
      </c>
      <c r="E54" s="259">
        <f t="shared" si="2"/>
        <v>2388</v>
      </c>
      <c r="F54" s="183"/>
      <c r="G54" s="183">
        <f t="shared" si="3"/>
        <v>2388</v>
      </c>
      <c r="H54" s="181">
        <f t="shared" si="4"/>
        <v>5.1789988102204487E-4</v>
      </c>
      <c r="J54" s="136"/>
      <c r="K54" s="136"/>
      <c r="M54" s="237">
        <f t="shared" si="5"/>
        <v>8.5603670777172361E-2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'[14]Sch C'!D44</f>
        <v>0</v>
      </c>
      <c r="D55" s="273">
        <f>'[14]Sch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'[14]Sch C'!D45</f>
        <v>54822</v>
      </c>
      <c r="D56" s="273">
        <f>'[14]Sch C'!F45</f>
        <v>0</v>
      </c>
      <c r="E56" s="259">
        <f t="shared" si="2"/>
        <v>54822</v>
      </c>
      <c r="F56" s="183"/>
      <c r="G56" s="183">
        <f t="shared" si="3"/>
        <v>54822</v>
      </c>
      <c r="H56" s="181">
        <f t="shared" si="4"/>
        <v>1.1889575911805084E-2</v>
      </c>
      <c r="J56" s="136"/>
      <c r="K56" s="136"/>
      <c r="M56" s="237">
        <f t="shared" si="5"/>
        <v>1.9652279896759393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1587219</v>
      </c>
      <c r="D57" s="273">
        <f>SUM(D21:D56)</f>
        <v>-567666.54</v>
      </c>
      <c r="E57" s="183">
        <f>SUM(E21:E56)</f>
        <v>1019552.46</v>
      </c>
      <c r="F57" s="183">
        <f>SUM(F21:F56)</f>
        <v>0</v>
      </c>
      <c r="G57" s="183">
        <f t="shared" si="3"/>
        <v>1019552.46</v>
      </c>
      <c r="H57" s="181">
        <f t="shared" si="4"/>
        <v>0.22111645633573412</v>
      </c>
      <c r="J57" s="136"/>
      <c r="K57" s="136"/>
      <c r="M57" s="237">
        <f t="shared" si="5"/>
        <v>36.548338829939773</v>
      </c>
      <c r="N57" s="243">
        <f>SUMMARY!M57</f>
        <v>39.672950949912064</v>
      </c>
      <c r="O57" s="238">
        <f>M57/N57-1</f>
        <v>-7.875925649990545E-2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'[14]Sch C'!D57</f>
        <v>404160</v>
      </c>
      <c r="D60" s="273">
        <f>'[14]Sch C'!F57</f>
        <v>-404160</v>
      </c>
      <c r="E60" s="259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'[14]Sch C'!D58</f>
        <v>0</v>
      </c>
      <c r="D61" s="273">
        <f>'[14]Sch C'!F58</f>
        <v>4178.49</v>
      </c>
      <c r="E61" s="259">
        <f t="shared" si="6"/>
        <v>4178.49</v>
      </c>
      <c r="F61" s="179"/>
      <c r="G61" s="179">
        <f t="shared" ref="G61:G76" si="7">IF(ISERROR(E61+F61),"",(E61+F61))</f>
        <v>4178.49</v>
      </c>
      <c r="H61" s="181">
        <f t="shared" ref="H61:H76" si="8">IF(ISERROR(G61/$G$183),"",(G61/$G$183))</f>
        <v>9.0621418503006865E-4</v>
      </c>
      <c r="J61" s="136"/>
      <c r="K61" s="136"/>
      <c r="M61" s="237">
        <f t="shared" ref="M61:M77" si="9">IFERROR(G61/G$198,0)</f>
        <v>0.14978814166905649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'[14]Sch C'!D59</f>
        <v>0</v>
      </c>
      <c r="D62" s="273">
        <f>'[14]Sch C'!F59</f>
        <v>238459.87</v>
      </c>
      <c r="E62" s="259">
        <f t="shared" si="6"/>
        <v>238459.87</v>
      </c>
      <c r="F62" s="179"/>
      <c r="G62" s="179">
        <f t="shared" si="7"/>
        <v>238459.87</v>
      </c>
      <c r="H62" s="181">
        <f t="shared" si="8"/>
        <v>5.171622206931837E-2</v>
      </c>
      <c r="J62" s="136"/>
      <c r="K62" s="136"/>
      <c r="M62" s="237">
        <f t="shared" si="9"/>
        <v>8.5481742902208193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'[14]Sch C'!D60</f>
        <v>0</v>
      </c>
      <c r="D63" s="273">
        <f>'[14]Sch C'!F60</f>
        <v>0</v>
      </c>
      <c r="E63" s="259">
        <f t="shared" si="6"/>
        <v>0</v>
      </c>
      <c r="F63" s="179"/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'[14]Sch C'!D61</f>
        <v>4602</v>
      </c>
      <c r="D64" s="273">
        <f>'[14]Sch C'!F61</f>
        <v>0</v>
      </c>
      <c r="E64" s="259">
        <f t="shared" si="6"/>
        <v>4602</v>
      </c>
      <c r="F64" s="179"/>
      <c r="G64" s="179">
        <f t="shared" si="7"/>
        <v>4602</v>
      </c>
      <c r="H64" s="181">
        <f t="shared" si="8"/>
        <v>9.9806333855253365E-4</v>
      </c>
      <c r="J64" s="136"/>
      <c r="K64" s="136"/>
      <c r="M64" s="237">
        <f t="shared" si="9"/>
        <v>0.16496988815600802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'[14]Sch C'!D62</f>
        <v>0</v>
      </c>
      <c r="D65" s="273">
        <f>'[14]Sch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'[14]Sch C'!D63</f>
        <v>0</v>
      </c>
      <c r="D66" s="273">
        <f>'[14]Sch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'[14]Sch C'!D64</f>
        <v>0</v>
      </c>
      <c r="D67" s="273">
        <f>'[14]Sch C'!F64</f>
        <v>0</v>
      </c>
      <c r="E67" s="259">
        <f t="shared" si="6"/>
        <v>0</v>
      </c>
      <c r="F67" s="179"/>
      <c r="G67" s="179">
        <f t="shared" si="7"/>
        <v>0</v>
      </c>
      <c r="H67" s="181">
        <f t="shared" si="8"/>
        <v>0</v>
      </c>
      <c r="J67" s="136"/>
      <c r="K67" s="136"/>
      <c r="M67" s="237">
        <f t="shared" si="9"/>
        <v>0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'[14]Sch C'!D65</f>
        <v>0</v>
      </c>
      <c r="D68" s="273">
        <f>'[14]Sch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'[14]Sch C'!D66</f>
        <v>0</v>
      </c>
      <c r="D69" s="273">
        <f>'[14]Sch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'[14]Sch C'!D67</f>
        <v>8278</v>
      </c>
      <c r="D70" s="273">
        <f>'[14]Sch C'!F67</f>
        <v>0</v>
      </c>
      <c r="E70" s="259">
        <f t="shared" si="6"/>
        <v>8278</v>
      </c>
      <c r="F70" s="179"/>
      <c r="G70" s="179">
        <f t="shared" si="7"/>
        <v>8278</v>
      </c>
      <c r="H70" s="181">
        <f t="shared" si="8"/>
        <v>1.7952995038109242E-3</v>
      </c>
      <c r="J70" s="136"/>
      <c r="K70" s="136"/>
      <c r="M70" s="237">
        <f t="shared" si="9"/>
        <v>0.29674505305420135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'[14]Sch C'!D68</f>
        <v>0</v>
      </c>
      <c r="D71" s="273">
        <f>'[14]Sch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'[14]Sch C'!D69</f>
        <v>67389</v>
      </c>
      <c r="D72" s="273">
        <f>'[14]Sch C'!F69</f>
        <v>0</v>
      </c>
      <c r="E72" s="259">
        <f t="shared" si="6"/>
        <v>67389</v>
      </c>
      <c r="F72" s="179"/>
      <c r="G72" s="179">
        <f t="shared" si="7"/>
        <v>67389</v>
      </c>
      <c r="H72" s="181">
        <f t="shared" si="8"/>
        <v>1.4615056567083156E-2</v>
      </c>
      <c r="J72" s="136"/>
      <c r="K72" s="136"/>
      <c r="M72" s="237">
        <f t="shared" si="9"/>
        <v>2.4157226842558073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'[14]Sch C'!D70</f>
        <v>0</v>
      </c>
      <c r="D73" s="273">
        <f>'[14]Sch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'[14]Sch C'!D71</f>
        <v>0</v>
      </c>
      <c r="D74" s="273">
        <f>'[14]Sch C'!F71</f>
        <v>0</v>
      </c>
      <c r="E74" s="259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'[14]Sch C'!D72</f>
        <v>0</v>
      </c>
      <c r="D75" s="273">
        <f>'[14]Sch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'[14]Sch C'!D73</f>
        <v>0</v>
      </c>
      <c r="D76" s="273">
        <f>'[14]Sch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484429</v>
      </c>
      <c r="D77" s="273">
        <f>SUM(D60:D76)</f>
        <v>-161521.64000000001</v>
      </c>
      <c r="E77" s="182">
        <f>SUM(E60:E76)</f>
        <v>322907.36</v>
      </c>
      <c r="F77" s="182">
        <f>SUM(F60:F76)</f>
        <v>0</v>
      </c>
      <c r="G77" s="183">
        <f>IF(ISERROR(E77+F77),"",(E77+F77))</f>
        <v>322907.36</v>
      </c>
      <c r="H77" s="181">
        <f>IF(ISERROR(G77/$G$183),"",(G77/$G$183))</f>
        <v>7.003085566379505E-2</v>
      </c>
      <c r="J77" s="136"/>
      <c r="K77" s="136"/>
      <c r="M77" s="237">
        <f t="shared" si="9"/>
        <v>11.575400057355893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'[14]Sch C'!D78</f>
        <v>29787</v>
      </c>
      <c r="D80" s="273">
        <f>'[14]Sch C'!F78</f>
        <v>2221.98</v>
      </c>
      <c r="E80" s="259">
        <f t="shared" ref="E80:E91" si="10">SUM(C80:D80)</f>
        <v>32008.98</v>
      </c>
      <c r="F80" s="180"/>
      <c r="G80" s="180">
        <f>IF(ISERROR(E80+F80),"",(E80+F80))</f>
        <v>32008.98</v>
      </c>
      <c r="H80" s="181">
        <f t="shared" ref="H80:H92" si="11">IF(ISERROR(G80/$G$183),"",(G80/$G$183))</f>
        <v>6.9419794529468224E-3</v>
      </c>
      <c r="J80" s="261">
        <v>1858.75</v>
      </c>
      <c r="K80" s="261">
        <v>2052.9499999999998</v>
      </c>
      <c r="M80" s="237">
        <f t="shared" ref="M80:M92" si="12">IFERROR(G80/G$198,0)</f>
        <v>1.1474397763120161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'[14]Sch C'!D79</f>
        <v>0</v>
      </c>
      <c r="D81" s="273">
        <f>'[14]Sch C'!F79</f>
        <v>4524.41</v>
      </c>
      <c r="E81" s="259">
        <f t="shared" si="10"/>
        <v>4524.41</v>
      </c>
      <c r="F81" s="183"/>
      <c r="G81" s="183">
        <f>IF(ISERROR(E81+F81),"",(E81+F81))</f>
        <v>4524.41</v>
      </c>
      <c r="H81" s="181">
        <f t="shared" si="11"/>
        <v>9.8123592993925863E-4</v>
      </c>
      <c r="J81" s="136"/>
      <c r="K81" s="136"/>
      <c r="M81" s="237">
        <f t="shared" si="12"/>
        <v>0.16218848580441639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'[14]Sch C'!D80</f>
        <v>20330</v>
      </c>
      <c r="D82" s="273">
        <f>'[14]Sch C'!F80</f>
        <v>0</v>
      </c>
      <c r="E82" s="259">
        <f t="shared" si="10"/>
        <v>20330</v>
      </c>
      <c r="F82" s="183"/>
      <c r="G82" s="183">
        <f>IF(ISERROR(E82+F82),"",(E82+F82))</f>
        <v>20330</v>
      </c>
      <c r="H82" s="181">
        <f t="shared" si="11"/>
        <v>4.4090890205938744E-3</v>
      </c>
      <c r="J82" s="136"/>
      <c r="K82" s="136"/>
      <c r="M82" s="237">
        <f t="shared" si="12"/>
        <v>0.72877831947232574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'[14]Sch C'!D81</f>
        <v>0</v>
      </c>
      <c r="D83" s="273">
        <f>'[14]Sch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'[14]Sch C'!D82</f>
        <v>2461</v>
      </c>
      <c r="D84" s="273">
        <f>'[14]Sch C'!F82</f>
        <v>0</v>
      </c>
      <c r="E84" s="259">
        <f t="shared" si="10"/>
        <v>2461</v>
      </c>
      <c r="F84" s="183"/>
      <c r="G84" s="183">
        <f t="shared" ref="G84:G91" si="13">IF(ISERROR(E84+F84),"",(E84+F84))</f>
        <v>2461</v>
      </c>
      <c r="H84" s="181">
        <f t="shared" si="11"/>
        <v>5.3373182880873211E-4</v>
      </c>
      <c r="J84" s="136"/>
      <c r="K84" s="136"/>
      <c r="M84" s="237">
        <f t="shared" si="12"/>
        <v>8.8220533409807858E-2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'[14]Sch C'!D83</f>
        <v>24417</v>
      </c>
      <c r="D85" s="273">
        <f>'[14]Sch C'!F83</f>
        <v>0</v>
      </c>
      <c r="E85" s="259">
        <f t="shared" si="10"/>
        <v>24417</v>
      </c>
      <c r="F85" s="183"/>
      <c r="G85" s="183">
        <f t="shared" si="13"/>
        <v>24417</v>
      </c>
      <c r="H85" s="181">
        <f t="shared" si="11"/>
        <v>5.295461220651285E-3</v>
      </c>
      <c r="J85" s="136"/>
      <c r="K85" s="136"/>
      <c r="M85" s="237">
        <f t="shared" si="12"/>
        <v>0.87528677946659017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'[14]Sch C'!D84</f>
        <v>0</v>
      </c>
      <c r="D86" s="273">
        <f>'[14]Sch C'!F84</f>
        <v>0</v>
      </c>
      <c r="E86" s="259">
        <f t="shared" si="10"/>
        <v>0</v>
      </c>
      <c r="F86" s="183"/>
      <c r="G86" s="183">
        <f t="shared" si="13"/>
        <v>0</v>
      </c>
      <c r="H86" s="181">
        <f t="shared" si="11"/>
        <v>0</v>
      </c>
      <c r="J86" s="136"/>
      <c r="K86" s="136"/>
      <c r="M86" s="237">
        <f t="shared" si="12"/>
        <v>0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'[14]Sch C'!D85</f>
        <v>0</v>
      </c>
      <c r="D87" s="273">
        <f>'[14]Sch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'[14]Sch C'!D86</f>
        <v>1351</v>
      </c>
      <c r="D88" s="273">
        <f>'[14]Sch C'!F86</f>
        <v>0</v>
      </c>
      <c r="E88" s="259">
        <f t="shared" si="10"/>
        <v>1351</v>
      </c>
      <c r="F88" s="183"/>
      <c r="G88" s="183">
        <f t="shared" si="13"/>
        <v>1351</v>
      </c>
      <c r="H88" s="181">
        <f t="shared" si="11"/>
        <v>2.9299947205225401E-4</v>
      </c>
      <c r="J88" s="136"/>
      <c r="K88" s="136"/>
      <c r="M88" s="237">
        <f t="shared" si="12"/>
        <v>4.84298824204187E-2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'[14]Sch C'!D87</f>
        <v>65649</v>
      </c>
      <c r="D89" s="273">
        <f>'[14]Sch C'!F87</f>
        <v>0</v>
      </c>
      <c r="E89" s="259">
        <f t="shared" si="10"/>
        <v>65649</v>
      </c>
      <c r="F89" s="183"/>
      <c r="G89" s="183">
        <f t="shared" si="13"/>
        <v>65649</v>
      </c>
      <c r="H89" s="181">
        <f t="shared" si="11"/>
        <v>1.4237692332167597E-2</v>
      </c>
      <c r="J89" s="136"/>
      <c r="K89" s="136"/>
      <c r="M89" s="237">
        <f t="shared" si="12"/>
        <v>2.3533481502724407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'[14]Sch C'!D88</f>
        <v>0</v>
      </c>
      <c r="D90" s="273">
        <f>'[14]Sch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'[14]Sch C'!D89</f>
        <v>0</v>
      </c>
      <c r="D91" s="273">
        <f>'[14]Sch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143995</v>
      </c>
      <c r="D92" s="273">
        <f>SUM(D80:D91)</f>
        <v>6746.3899999999994</v>
      </c>
      <c r="E92" s="183">
        <f>SUM(E80:E91)</f>
        <v>150741.39000000001</v>
      </c>
      <c r="F92" s="183">
        <f>SUM(F80:F91)</f>
        <v>0</v>
      </c>
      <c r="G92" s="183">
        <f>IF(ISERROR(E92+F92),"",(E92+F92))</f>
        <v>150741.39000000001</v>
      </c>
      <c r="H92" s="181">
        <f t="shared" si="11"/>
        <v>3.2692189257159825E-2</v>
      </c>
      <c r="J92" s="136"/>
      <c r="K92" s="136"/>
      <c r="M92" s="237">
        <f t="shared" si="12"/>
        <v>5.4036919271580164</v>
      </c>
      <c r="N92" s="243">
        <f>SUMMARY!M92</f>
        <v>10.36414021133649</v>
      </c>
      <c r="O92" s="238">
        <f>M92/N92-1</f>
        <v>-0.47861647787750328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'[14]Sch C'!D93</f>
        <v>124292</v>
      </c>
      <c r="D95" s="273">
        <f>'[14]Sch C'!F93</f>
        <v>9271.65</v>
      </c>
      <c r="E95" s="259">
        <f t="shared" ref="E95:E100" si="14">SUM(C95:D95)</f>
        <v>133563.65</v>
      </c>
      <c r="F95" s="180"/>
      <c r="G95" s="180">
        <f t="shared" ref="G95:G101" si="15">IF(ISERROR(E95+F95),"",(E95+F95))</f>
        <v>133563.65</v>
      </c>
      <c r="H95" s="181">
        <f t="shared" ref="H95:H101" si="16">IF(ISERROR(G95/$G$183),"",(G95/$G$183))</f>
        <v>2.8966749767114754E-2</v>
      </c>
      <c r="J95" s="261">
        <v>11829.050000000001</v>
      </c>
      <c r="K95" s="261">
        <v>12624.05</v>
      </c>
      <c r="M95" s="237">
        <f t="shared" ref="M95:M101" si="17">IFERROR(G95/G$198,0)</f>
        <v>4.7879140378548897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'[14]Sch C'!D94</f>
        <v>0</v>
      </c>
      <c r="D96" s="273">
        <f>'[14]Sch C'!F94</f>
        <v>18878.97</v>
      </c>
      <c r="E96" s="259">
        <f t="shared" si="14"/>
        <v>18878.97</v>
      </c>
      <c r="F96" s="183"/>
      <c r="G96" s="183">
        <f t="shared" si="15"/>
        <v>18878.97</v>
      </c>
      <c r="H96" s="181">
        <f t="shared" si="16"/>
        <v>4.0943954425539169E-3</v>
      </c>
      <c r="J96" s="136"/>
      <c r="K96" s="136"/>
      <c r="M96" s="237">
        <f t="shared" si="17"/>
        <v>0.67676261829653006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'[14]Sch C'!D95</f>
        <v>0</v>
      </c>
      <c r="D97" s="273">
        <f>'[14]Sch C'!F95</f>
        <v>0</v>
      </c>
      <c r="E97" s="259">
        <f t="shared" si="14"/>
        <v>0</v>
      </c>
      <c r="F97" s="183"/>
      <c r="G97" s="183">
        <f t="shared" si="15"/>
        <v>0</v>
      </c>
      <c r="H97" s="181">
        <f t="shared" si="16"/>
        <v>0</v>
      </c>
      <c r="J97" s="136"/>
      <c r="K97" s="136"/>
      <c r="M97" s="237">
        <f t="shared" si="17"/>
        <v>0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'[14]Sch C'!D96</f>
        <v>105475</v>
      </c>
      <c r="D98" s="273">
        <f>'[14]Sch C'!F96</f>
        <v>-13096</v>
      </c>
      <c r="E98" s="259">
        <f t="shared" si="14"/>
        <v>92379</v>
      </c>
      <c r="F98" s="183"/>
      <c r="G98" s="183">
        <f t="shared" si="15"/>
        <v>92379</v>
      </c>
      <c r="H98" s="181">
        <f t="shared" si="16"/>
        <v>2.0034787734060082E-2</v>
      </c>
      <c r="J98" s="136"/>
      <c r="K98" s="136"/>
      <c r="M98" s="237">
        <f t="shared" si="17"/>
        <v>3.3115500430169198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'[14]Sch C'!D97</f>
        <v>14505</v>
      </c>
      <c r="D99" s="273">
        <f>'[14]Sch C'!F97</f>
        <v>0</v>
      </c>
      <c r="E99" s="259">
        <f t="shared" si="14"/>
        <v>14505</v>
      </c>
      <c r="F99" s="183"/>
      <c r="G99" s="183">
        <f t="shared" si="15"/>
        <v>14505</v>
      </c>
      <c r="H99" s="181">
        <f t="shared" si="16"/>
        <v>3.1457863376150585E-3</v>
      </c>
      <c r="J99" s="136"/>
      <c r="K99" s="136"/>
      <c r="M99" s="237">
        <f t="shared" si="17"/>
        <v>0.51996702036134212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'[14]Sch C'!D98</f>
        <v>0</v>
      </c>
      <c r="D100" s="273">
        <f>'[14]Sch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244272</v>
      </c>
      <c r="D101" s="273">
        <f>SUM(D95:D100)</f>
        <v>15054.620000000003</v>
      </c>
      <c r="E101" s="183">
        <f>SUM(E95:E100)</f>
        <v>259326.62</v>
      </c>
      <c r="F101" s="183">
        <f>SUM(F95:F100)</f>
        <v>0</v>
      </c>
      <c r="G101" s="183">
        <f t="shared" si="15"/>
        <v>259326.62</v>
      </c>
      <c r="H101" s="181">
        <f t="shared" si="16"/>
        <v>5.6241719281343812E-2</v>
      </c>
      <c r="J101" s="136"/>
      <c r="K101" s="136"/>
      <c r="M101" s="237">
        <f t="shared" si="17"/>
        <v>9.2961937195296809</v>
      </c>
      <c r="N101" s="243">
        <f>SUMMARY!M101</f>
        <v>14.116295917008408</v>
      </c>
      <c r="O101" s="238">
        <f>M101/N101-1</f>
        <v>-0.34145658505720999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'[14]Sch C'!D102</f>
        <v>49129</v>
      </c>
      <c r="D104" s="273">
        <f>'[14]Sch C'!F102</f>
        <v>3664.81</v>
      </c>
      <c r="E104" s="259">
        <f t="shared" ref="E104:E109" si="18">SUM(C104:D104)</f>
        <v>52793.81</v>
      </c>
      <c r="F104" s="180"/>
      <c r="G104" s="180">
        <f t="shared" ref="G104:G110" si="19">IF(ISERROR(E104+F104),"",(E104+F104))</f>
        <v>52793.81</v>
      </c>
      <c r="H104" s="181">
        <f t="shared" ref="H104:H110" si="20">IF(ISERROR(G104/$G$183),"",(G104/$G$183))</f>
        <v>1.1449710183291641E-2</v>
      </c>
      <c r="J104" s="261">
        <v>5211.8599999999997</v>
      </c>
      <c r="K104" s="261">
        <v>5596.59</v>
      </c>
      <c r="M104" s="237">
        <f t="shared" ref="M104:M110" si="21">IFERROR(G104/G$198,0)</f>
        <v>1.892522583882994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'[14]Sch C'!D103</f>
        <v>0</v>
      </c>
      <c r="D105" s="273">
        <f>'[14]Sch C'!F103</f>
        <v>7462.31</v>
      </c>
      <c r="E105" s="259">
        <f t="shared" si="18"/>
        <v>7462.31</v>
      </c>
      <c r="F105" s="183"/>
      <c r="G105" s="183">
        <f t="shared" si="19"/>
        <v>7462.31</v>
      </c>
      <c r="H105" s="181">
        <f t="shared" si="20"/>
        <v>1.6183959217544452E-3</v>
      </c>
      <c r="J105" s="136"/>
      <c r="K105" s="136"/>
      <c r="M105" s="237">
        <f t="shared" si="21"/>
        <v>0.26750466016633212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'[14]Sch C'!D104</f>
        <v>9100</v>
      </c>
      <c r="D106" s="273">
        <f>'[14]Sch C'!F104</f>
        <v>0</v>
      </c>
      <c r="E106" s="259">
        <f t="shared" si="18"/>
        <v>9100</v>
      </c>
      <c r="F106" s="183"/>
      <c r="G106" s="183">
        <f t="shared" si="19"/>
        <v>9100</v>
      </c>
      <c r="H106" s="181">
        <f t="shared" si="20"/>
        <v>1.9735715734089648E-3</v>
      </c>
      <c r="J106" s="136"/>
      <c r="K106" s="136"/>
      <c r="M106" s="237">
        <f t="shared" si="21"/>
        <v>0.32621164324634355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'[14]Sch C'!D105</f>
        <v>0</v>
      </c>
      <c r="D107" s="273">
        <f>'[14]Sch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'[14]Sch C'!D106</f>
        <v>2416</v>
      </c>
      <c r="D108" s="273">
        <f>'[14]Sch C'!F106</f>
        <v>0</v>
      </c>
      <c r="E108" s="259">
        <f t="shared" si="18"/>
        <v>2416</v>
      </c>
      <c r="F108" s="183"/>
      <c r="G108" s="183">
        <f t="shared" si="19"/>
        <v>2416</v>
      </c>
      <c r="H108" s="181">
        <f t="shared" si="20"/>
        <v>5.2397240894022624E-4</v>
      </c>
      <c r="J108" s="136"/>
      <c r="K108" s="136"/>
      <c r="M108" s="237">
        <f t="shared" si="21"/>
        <v>8.6607398910238026E-2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'[14]Sch C'!D107</f>
        <v>0</v>
      </c>
      <c r="D109" s="273">
        <f>'[14]Sch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60645</v>
      </c>
      <c r="D110" s="273">
        <f>SUM(D104:D109)</f>
        <v>11127.12</v>
      </c>
      <c r="E110" s="183">
        <f>SUM(E104:E109)</f>
        <v>71772.12</v>
      </c>
      <c r="F110" s="183">
        <f>SUM(F104:F109)</f>
        <v>0</v>
      </c>
      <c r="G110" s="183">
        <f t="shared" si="19"/>
        <v>71772.12</v>
      </c>
      <c r="H110" s="181">
        <f t="shared" si="20"/>
        <v>1.5565650087395277E-2</v>
      </c>
      <c r="J110" s="136"/>
      <c r="K110" s="136"/>
      <c r="M110" s="237">
        <f t="shared" si="21"/>
        <v>2.5728462862059076</v>
      </c>
      <c r="N110" s="243">
        <f>SUMMARY!M110</f>
        <v>2.6822243142585545</v>
      </c>
      <c r="O110" s="238">
        <f>M110/N110-1</f>
        <v>-4.0778851892140144E-2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'[14]Sch C'!D121</f>
        <v>72091</v>
      </c>
      <c r="D113" s="273">
        <f>'[14]Sch C'!F121</f>
        <v>5377.68</v>
      </c>
      <c r="E113" s="259">
        <f t="shared" ref="E113:E117" si="22">SUM(C113:D113)</f>
        <v>77468.679999999993</v>
      </c>
      <c r="F113" s="180"/>
      <c r="G113" s="180">
        <f t="shared" ref="G113:G118" si="23">IF(ISERROR(E113+F113),"",(E113+F113))</f>
        <v>77468.679999999993</v>
      </c>
      <c r="H113" s="181">
        <f t="shared" ref="H113:H118" si="24">IF(ISERROR(G113/$G$183),"",(G113/$G$183))</f>
        <v>1.6801097217309404E-2</v>
      </c>
      <c r="J113" s="261">
        <v>8057.5</v>
      </c>
      <c r="K113" s="261">
        <v>8578.9500000000007</v>
      </c>
      <c r="M113" s="237">
        <f t="shared" ref="M113:M118" si="25">IFERROR(G113/G$198,0)</f>
        <v>2.7770533409807854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'[14]Sch C'!D122</f>
        <v>0</v>
      </c>
      <c r="D114" s="273">
        <f>'[14]Sch C'!F122</f>
        <v>10950.05</v>
      </c>
      <c r="E114" s="259">
        <f t="shared" si="22"/>
        <v>10950.05</v>
      </c>
      <c r="F114" s="183"/>
      <c r="G114" s="183">
        <f t="shared" si="23"/>
        <v>10950.05</v>
      </c>
      <c r="H114" s="181">
        <f t="shared" si="24"/>
        <v>2.3748030118029488E-3</v>
      </c>
      <c r="J114" s="136"/>
      <c r="K114" s="136"/>
      <c r="M114" s="237">
        <f t="shared" si="25"/>
        <v>0.39253118726699165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'[14]Sch C'!D123</f>
        <v>16181</v>
      </c>
      <c r="D115" s="273">
        <f>'[14]Sch C'!F123</f>
        <v>0</v>
      </c>
      <c r="E115" s="259">
        <f t="shared" si="22"/>
        <v>16181</v>
      </c>
      <c r="F115" s="183"/>
      <c r="G115" s="183">
        <f t="shared" si="23"/>
        <v>16181</v>
      </c>
      <c r="H115" s="181">
        <f t="shared" si="24"/>
        <v>3.5092705087176328E-3</v>
      </c>
      <c r="J115" s="136"/>
      <c r="K115" s="136"/>
      <c r="M115" s="237">
        <f t="shared" si="25"/>
        <v>0.58004731861198733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'[14]Sch C'!D124</f>
        <v>0</v>
      </c>
      <c r="D116" s="273">
        <f>'[14]Sch C'!F124</f>
        <v>0</v>
      </c>
      <c r="E116" s="259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'[14]Sch C'!D125</f>
        <v>0</v>
      </c>
      <c r="D117" s="273">
        <f>'[14]Sch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88272</v>
      </c>
      <c r="D118" s="273">
        <f>SUM(D113:D117)</f>
        <v>16327.73</v>
      </c>
      <c r="E118" s="183">
        <f>SUM(E113:E117)</f>
        <v>104599.73</v>
      </c>
      <c r="F118" s="183">
        <f>SUM(F113:F117)</f>
        <v>0</v>
      </c>
      <c r="G118" s="183">
        <f t="shared" si="23"/>
        <v>104599.73</v>
      </c>
      <c r="H118" s="181">
        <f t="shared" si="24"/>
        <v>2.2685170737829989E-2</v>
      </c>
      <c r="J118" s="136"/>
      <c r="K118" s="136"/>
      <c r="M118" s="237">
        <f t="shared" si="25"/>
        <v>3.7496318468597649</v>
      </c>
      <c r="N118" s="243">
        <f>SUMMARY!M118</f>
        <v>3.1676887539780583</v>
      </c>
      <c r="O118" s="238">
        <f>M118/N118-1</f>
        <v>0.18371220725233472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'[14]Sch C'!D129</f>
        <v>87327</v>
      </c>
      <c r="D121" s="273">
        <f>'[14]Sch C'!F129</f>
        <v>6514.2199999999993</v>
      </c>
      <c r="E121" s="259">
        <f t="shared" ref="E121:E131" si="26">SUM(C121:D121)</f>
        <v>93841.22</v>
      </c>
      <c r="F121" s="180"/>
      <c r="G121" s="180">
        <f t="shared" ref="G121:G128" si="27">IF(ISERROR(E121+F121),"",(E121+F121))</f>
        <v>93841.22</v>
      </c>
      <c r="H121" s="181">
        <f t="shared" ref="H121:H129" si="28">IF(ISERROR(G121/$G$183),"",(G121/$G$183))</f>
        <v>2.0351908154507343E-2</v>
      </c>
      <c r="J121" s="261">
        <v>3865.04</v>
      </c>
      <c r="K121" s="261">
        <v>4245.1399999999994</v>
      </c>
      <c r="M121" s="237">
        <f t="shared" ref="M121:M131" si="29">IFERROR(G121/G$198,0)</f>
        <v>3.3639668769716087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'[14]Sch C'!D130</f>
        <v>0</v>
      </c>
      <c r="D122" s="273">
        <f>'[14]Sch C'!F130</f>
        <v>13264.28</v>
      </c>
      <c r="E122" s="259">
        <f t="shared" si="26"/>
        <v>13264.28</v>
      </c>
      <c r="F122" s="183"/>
      <c r="G122" s="183">
        <f t="shared" si="27"/>
        <v>13264.28</v>
      </c>
      <c r="H122" s="181">
        <f t="shared" si="28"/>
        <v>2.8767039505205563E-3</v>
      </c>
      <c r="J122" s="136"/>
      <c r="K122" s="136"/>
      <c r="M122" s="237">
        <f t="shared" si="29"/>
        <v>0.47549039288786926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'[14]Sch C'!D131</f>
        <v>1311598</v>
      </c>
      <c r="D123" s="273">
        <f>'[14]Sch C'!F131</f>
        <v>100330.58</v>
      </c>
      <c r="E123" s="259">
        <f t="shared" si="26"/>
        <v>1411928.58</v>
      </c>
      <c r="F123" s="183"/>
      <c r="G123" s="183">
        <f t="shared" si="27"/>
        <v>1411928.58</v>
      </c>
      <c r="H123" s="181">
        <f t="shared" si="28"/>
        <v>0.30621341859029511</v>
      </c>
      <c r="J123" s="261">
        <v>122016.81999999999</v>
      </c>
      <c r="K123" s="261">
        <v>128440.26</v>
      </c>
      <c r="M123" s="237">
        <f t="shared" si="29"/>
        <v>50.614015629480932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'[14]Sch C'!D132</f>
        <v>0</v>
      </c>
      <c r="D124" s="273">
        <f>'[14]Sch C'!F132</f>
        <v>204293.45</v>
      </c>
      <c r="E124" s="259">
        <f t="shared" si="26"/>
        <v>204293.45</v>
      </c>
      <c r="F124" s="183"/>
      <c r="G124" s="183">
        <f t="shared" si="27"/>
        <v>204293.45</v>
      </c>
      <c r="H124" s="181">
        <f t="shared" si="28"/>
        <v>4.4306345665235794E-2</v>
      </c>
      <c r="J124" s="136"/>
      <c r="K124" s="136"/>
      <c r="M124" s="237">
        <f t="shared" si="29"/>
        <v>7.3233958273587616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'[14]Sch C'!D133</f>
        <v>2911</v>
      </c>
      <c r="D125" s="273">
        <f>'[14]Sch C'!F133</f>
        <v>0</v>
      </c>
      <c r="E125" s="259">
        <f t="shared" si="26"/>
        <v>2911</v>
      </c>
      <c r="F125" s="183"/>
      <c r="G125" s="183">
        <f t="shared" si="27"/>
        <v>2911</v>
      </c>
      <c r="H125" s="181">
        <f t="shared" si="28"/>
        <v>6.3132602749379086E-4</v>
      </c>
      <c r="J125" s="261">
        <v>0</v>
      </c>
      <c r="K125" s="261">
        <v>0</v>
      </c>
      <c r="M125" s="237">
        <f t="shared" si="29"/>
        <v>0.10435187840550617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'[14]Sch C'!D134</f>
        <v>94528</v>
      </c>
      <c r="D126" s="273">
        <f>'[14]Sch C'!F134</f>
        <v>0</v>
      </c>
      <c r="E126" s="259">
        <f t="shared" si="26"/>
        <v>94528</v>
      </c>
      <c r="F126" s="183"/>
      <c r="G126" s="183">
        <f t="shared" si="27"/>
        <v>94528</v>
      </c>
      <c r="H126" s="181">
        <f t="shared" si="28"/>
        <v>2.0500854251780509E-2</v>
      </c>
      <c r="J126" s="136"/>
      <c r="K126" s="136"/>
      <c r="M126" s="237">
        <f t="shared" si="29"/>
        <v>3.3885861772297106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'[14]Sch C'!D135</f>
        <v>0</v>
      </c>
      <c r="D127" s="273">
        <f>'[14]Sch C'!F135</f>
        <v>0</v>
      </c>
      <c r="E127" s="259">
        <f t="shared" si="26"/>
        <v>0</v>
      </c>
      <c r="F127" s="183"/>
      <c r="G127" s="183">
        <f t="shared" si="27"/>
        <v>0</v>
      </c>
      <c r="H127" s="181">
        <f t="shared" si="28"/>
        <v>0</v>
      </c>
      <c r="J127" s="136"/>
      <c r="K127" s="136"/>
      <c r="M127" s="237">
        <f t="shared" si="29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'[14]Sch C'!D136</f>
        <v>0</v>
      </c>
      <c r="D128" s="273">
        <f>'[14]Sch C'!F136</f>
        <v>0</v>
      </c>
      <c r="E128" s="259">
        <f t="shared" si="26"/>
        <v>0</v>
      </c>
      <c r="F128" s="183"/>
      <c r="G128" s="183">
        <f t="shared" si="27"/>
        <v>0</v>
      </c>
      <c r="H128" s="181">
        <f t="shared" si="28"/>
        <v>0</v>
      </c>
      <c r="J128" s="136"/>
      <c r="K128" s="136"/>
      <c r="M128" s="237">
        <f t="shared" si="29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'[14]Sch C'!D137</f>
        <v>5428</v>
      </c>
      <c r="D129" s="273">
        <f>'[14]Sch C'!F137</f>
        <v>0</v>
      </c>
      <c r="E129" s="259">
        <f t="shared" si="26"/>
        <v>5428</v>
      </c>
      <c r="F129" s="183"/>
      <c r="G129" s="183">
        <f>IF(ISERROR(E129+F129),"",(E129+F129))</f>
        <v>5428</v>
      </c>
      <c r="H129" s="181">
        <f t="shared" si="28"/>
        <v>1.1772029121388857E-3</v>
      </c>
      <c r="J129" s="136"/>
      <c r="K129" s="136"/>
      <c r="M129" s="237">
        <f t="shared" si="29"/>
        <v>0.19457986808144537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'[14]Sch C'!D138</f>
        <v>0</v>
      </c>
      <c r="D130" s="273">
        <f>'[14]Sch C'!F138</f>
        <v>0</v>
      </c>
      <c r="E130" s="259">
        <f t="shared" si="26"/>
        <v>0</v>
      </c>
      <c r="F130" s="183"/>
      <c r="G130" s="183">
        <f>IF(ISERROR(E130+F130),"",(E130+F130))</f>
        <v>0</v>
      </c>
      <c r="H130" s="181">
        <f>IF(ISERROR(G130/$G$183),"",(G130/$G$183))</f>
        <v>0</v>
      </c>
      <c r="J130" s="136"/>
      <c r="K130" s="136"/>
      <c r="M130" s="237">
        <f t="shared" si="29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'[14]Sch C'!D139</f>
        <v>0</v>
      </c>
      <c r="D131" s="273">
        <f>'[14]Sch C'!F139</f>
        <v>0</v>
      </c>
      <c r="E131" s="259">
        <f t="shared" si="26"/>
        <v>0</v>
      </c>
      <c r="F131" s="183"/>
      <c r="G131" s="183">
        <f>IF(ISERROR(E131+F131),"",(E131+F131))</f>
        <v>0</v>
      </c>
      <c r="H131" s="181">
        <f>IF(ISERROR(G131/$G$183),"",(G131/$G$183))</f>
        <v>0</v>
      </c>
      <c r="J131" s="136"/>
      <c r="K131" s="136"/>
      <c r="M131" s="237">
        <f t="shared" si="29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'[14]Sch C'!D141</f>
        <v>0</v>
      </c>
      <c r="D133" s="273">
        <f>'[14]Sch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'[14]Sch C'!D142</f>
        <v>0</v>
      </c>
      <c r="D134" s="273">
        <f>'[14]Sch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'[14]Sch C'!D143</f>
        <v>0</v>
      </c>
      <c r="D135" s="273">
        <f>'[14]Sch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'[14]Sch C'!D144</f>
        <v>0</v>
      </c>
      <c r="D136" s="273">
        <f>'[14]Sch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'[14]Sch C'!D145</f>
        <v>0</v>
      </c>
      <c r="D137" s="273">
        <f>'[14]Sch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'[14]Sch C'!D146</f>
        <v>0</v>
      </c>
      <c r="D138" s="273">
        <f>'[14]Sch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1501792</v>
      </c>
      <c r="D139" s="273">
        <f>SUM(D121:D138)</f>
        <v>324402.53000000003</v>
      </c>
      <c r="E139" s="182">
        <f>SUM(E121:E138)</f>
        <v>1826194.53</v>
      </c>
      <c r="F139" s="182">
        <f>SUM(F121:F138)</f>
        <v>0</v>
      </c>
      <c r="G139" s="183">
        <f t="shared" si="33"/>
        <v>1826194.53</v>
      </c>
      <c r="H139" s="181">
        <f t="shared" si="31"/>
        <v>0.39605775955197198</v>
      </c>
      <c r="J139" s="136"/>
      <c r="K139" s="136"/>
      <c r="M139" s="237">
        <f t="shared" si="32"/>
        <v>65.464386650415832</v>
      </c>
      <c r="N139" s="243">
        <f>SUMMARY!M139</f>
        <v>37.231450929246826</v>
      </c>
      <c r="O139" s="238">
        <f>M139/N139-1</f>
        <v>0.75830876897120558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'[14]Sch C'!D150</f>
        <v>65489</v>
      </c>
      <c r="D142" s="273">
        <f>'[14]Sch C'!F150</f>
        <v>4885.2</v>
      </c>
      <c r="E142" s="259">
        <f t="shared" ref="E142:E146" si="34">SUM(C142:D142)</f>
        <v>70374.2</v>
      </c>
      <c r="F142" s="180"/>
      <c r="G142" s="180">
        <f t="shared" ref="G142:G147" si="35">IF(ISERROR(E142+F142),"",(E142+F142))</f>
        <v>70374.2</v>
      </c>
      <c r="H142" s="181">
        <f t="shared" ref="H142:H147" si="36">IF(ISERROR(G142/$G$183),"",(G142/$G$183))</f>
        <v>1.5262474793560127E-2</v>
      </c>
      <c r="J142" s="261">
        <v>5174.26</v>
      </c>
      <c r="K142" s="261">
        <v>5509.9</v>
      </c>
      <c r="M142" s="237">
        <f t="shared" ref="M142:M147" si="37">IFERROR(G142/G$198,0)</f>
        <v>2.5227344422139373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'[14]Sch C'!D151</f>
        <v>0</v>
      </c>
      <c r="D143" s="273">
        <f>'[14]Sch C'!F151</f>
        <v>9947.26</v>
      </c>
      <c r="E143" s="259">
        <f t="shared" si="34"/>
        <v>9947.26</v>
      </c>
      <c r="F143" s="183"/>
      <c r="G143" s="183">
        <f t="shared" si="35"/>
        <v>9947.26</v>
      </c>
      <c r="H143" s="181">
        <f t="shared" si="36"/>
        <v>2.1573219306931933E-3</v>
      </c>
      <c r="J143" s="136"/>
      <c r="K143" s="136"/>
      <c r="M143" s="237">
        <f t="shared" si="37"/>
        <v>0.35658373960424433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'[14]Sch C'!D152</f>
        <v>2815</v>
      </c>
      <c r="D144" s="273">
        <f>'[14]Sch C'!F152</f>
        <v>0</v>
      </c>
      <c r="E144" s="259">
        <f t="shared" si="34"/>
        <v>2815</v>
      </c>
      <c r="F144" s="183"/>
      <c r="G144" s="183">
        <f t="shared" si="35"/>
        <v>2815</v>
      </c>
      <c r="H144" s="181">
        <f t="shared" si="36"/>
        <v>6.1050593177431158E-4</v>
      </c>
      <c r="J144" s="136"/>
      <c r="K144" s="136"/>
      <c r="M144" s="237">
        <f t="shared" si="37"/>
        <v>0.10091052480642386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'[14]Sch C'!D153</f>
        <v>3723</v>
      </c>
      <c r="D145" s="273">
        <f>'[14]Sch C'!F153</f>
        <v>0</v>
      </c>
      <c r="E145" s="259">
        <f t="shared" si="34"/>
        <v>3723</v>
      </c>
      <c r="F145" s="183"/>
      <c r="G145" s="183">
        <f t="shared" si="35"/>
        <v>3723</v>
      </c>
      <c r="H145" s="181">
        <f t="shared" si="36"/>
        <v>8.0742933712105224E-4</v>
      </c>
      <c r="J145" s="136"/>
      <c r="K145" s="136"/>
      <c r="M145" s="237">
        <f t="shared" si="37"/>
        <v>0.13345999426441066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'[14]Sch C'!D154</f>
        <v>0</v>
      </c>
      <c r="D146" s="273">
        <f>'[14]Sch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72027</v>
      </c>
      <c r="D147" s="273">
        <f>SUM(D142:D146)</f>
        <v>14832.46</v>
      </c>
      <c r="E147" s="183">
        <f>SUM(E142:E146)</f>
        <v>86859.459999999992</v>
      </c>
      <c r="F147" s="183">
        <f>SUM(F142:F146)</f>
        <v>0</v>
      </c>
      <c r="G147" s="183">
        <f t="shared" si="35"/>
        <v>86859.459999999992</v>
      </c>
      <c r="H147" s="204">
        <f t="shared" si="36"/>
        <v>1.8837731993148685E-2</v>
      </c>
      <c r="J147" s="136"/>
      <c r="K147" s="136"/>
      <c r="M147" s="237">
        <f t="shared" si="37"/>
        <v>3.1136887008890159</v>
      </c>
      <c r="N147" s="243">
        <f>SUMMARY!M147</f>
        <v>3.5319826687546212</v>
      </c>
      <c r="O147" s="238">
        <f>M147/N147-1</f>
        <v>-0.11843035685480752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'[14]Sch C'!D158</f>
        <v>480538</v>
      </c>
      <c r="D150" s="273">
        <f>'[14]Sch C'!F158</f>
        <v>37052.890000000007</v>
      </c>
      <c r="E150" s="259">
        <f t="shared" ref="E150:E163" si="38">SUM(C150:D150)</f>
        <v>517590.89</v>
      </c>
      <c r="F150" s="183"/>
      <c r="G150" s="183">
        <f>IF(ISERROR(E150+F150),"",(E150+F150))</f>
        <v>517590.89</v>
      </c>
      <c r="H150" s="181">
        <f>IF(ISERROR(G150/$G$183),"",(G150/$G$183))</f>
        <v>0.11225304034719191</v>
      </c>
      <c r="J150" s="261">
        <v>16266.490000000002</v>
      </c>
      <c r="K150" s="261">
        <v>17703.890000000003</v>
      </c>
      <c r="M150" s="237">
        <f t="shared" ref="M150:M164" si="39">IFERROR(G150/G$198,0)</f>
        <v>18.554304918267853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'[14]Sch C'!D159</f>
        <v>0</v>
      </c>
      <c r="D151" s="273">
        <f>'[14]Sch C'!F159</f>
        <v>75447.250000000015</v>
      </c>
      <c r="E151" s="259">
        <f t="shared" si="38"/>
        <v>75447.250000000015</v>
      </c>
      <c r="F151" s="183"/>
      <c r="G151" s="183">
        <f>IF(ISERROR(E151+F151),"",(E151+F151))</f>
        <v>75447.250000000015</v>
      </c>
      <c r="H151" s="181">
        <f>IF(ISERROR(G151/$G$183),"",(G151/$G$183))</f>
        <v>1.6362697570536214E-2</v>
      </c>
      <c r="J151" s="136"/>
      <c r="K151" s="136"/>
      <c r="M151" s="237">
        <f t="shared" si="39"/>
        <v>2.70459026383711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'[14]Sch C'!D160</f>
        <v>993</v>
      </c>
      <c r="D152" s="273">
        <f>'[14]Sch C'!F160</f>
        <v>0</v>
      </c>
      <c r="E152" s="259">
        <f t="shared" si="38"/>
        <v>993</v>
      </c>
      <c r="F152" s="183"/>
      <c r="G152" s="183">
        <f t="shared" ref="G152:G163" si="40">IF(ISERROR(E152+F152),"",(E152+F152))</f>
        <v>993</v>
      </c>
      <c r="H152" s="181">
        <f t="shared" ref="H152:H163" si="41">IF(ISERROR(G152/$G$183),"",(G152/$G$183))</f>
        <v>2.1535786509836285E-4</v>
      </c>
      <c r="J152" s="136"/>
      <c r="K152" s="136"/>
      <c r="M152" s="237">
        <f t="shared" si="39"/>
        <v>3.55965012905076E-2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'[14]Sch C'!D161</f>
        <v>0</v>
      </c>
      <c r="D153" s="273">
        <f>'[14]Sch C'!F161</f>
        <v>0</v>
      </c>
      <c r="E153" s="259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'[14]Sch C'!D162</f>
        <v>18220</v>
      </c>
      <c r="D154" s="273">
        <f>'[14]Sch C'!F162</f>
        <v>0</v>
      </c>
      <c r="E154" s="259">
        <f t="shared" si="38"/>
        <v>18220</v>
      </c>
      <c r="F154" s="183"/>
      <c r="G154" s="183">
        <f t="shared" si="40"/>
        <v>18220</v>
      </c>
      <c r="H154" s="181">
        <f t="shared" si="41"/>
        <v>3.9514806667594873E-3</v>
      </c>
      <c r="J154" s="206"/>
      <c r="K154" s="206"/>
      <c r="M154" s="237">
        <f t="shared" si="39"/>
        <v>0.65314023515916264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'[14]Sch C'!D163</f>
        <v>15121</v>
      </c>
      <c r="D155" s="273">
        <f>'[14]Sch C'!F163</f>
        <v>0</v>
      </c>
      <c r="E155" s="259">
        <f t="shared" si="38"/>
        <v>15121</v>
      </c>
      <c r="F155" s="183"/>
      <c r="G155" s="183">
        <f t="shared" si="40"/>
        <v>15121</v>
      </c>
      <c r="H155" s="181">
        <f t="shared" si="41"/>
        <v>3.27938195181505E-3</v>
      </c>
      <c r="J155" s="206"/>
      <c r="K155" s="206"/>
      <c r="M155" s="237">
        <f t="shared" si="39"/>
        <v>0.54204903928878689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'[14]Sch C'!D164</f>
        <v>0</v>
      </c>
      <c r="D156" s="273">
        <f>'[14]Sch C'!F164</f>
        <v>0</v>
      </c>
      <c r="E156" s="259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'[14]Sch C'!D165</f>
        <v>9417</v>
      </c>
      <c r="D157" s="273">
        <f>'[14]Sch C'!F165</f>
        <v>0</v>
      </c>
      <c r="E157" s="259">
        <f t="shared" si="38"/>
        <v>9417</v>
      </c>
      <c r="F157" s="183"/>
      <c r="G157" s="183">
        <f t="shared" si="40"/>
        <v>9417</v>
      </c>
      <c r="H157" s="181">
        <f t="shared" si="41"/>
        <v>2.0423212644826616E-3</v>
      </c>
      <c r="J157" s="206"/>
      <c r="K157" s="206"/>
      <c r="M157" s="237">
        <f t="shared" si="39"/>
        <v>0.33757527960997991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'[14]Sch C'!D166</f>
        <v>0</v>
      </c>
      <c r="D158" s="273">
        <f>'[14]Sch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'[14]Sch C'!D167</f>
        <v>0</v>
      </c>
      <c r="D159" s="273">
        <f>'[14]Sch C'!F167</f>
        <v>0</v>
      </c>
      <c r="E159" s="259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37">
        <f t="shared" si="39"/>
        <v>0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'[14]Sch C'!D168</f>
        <v>0</v>
      </c>
      <c r="D160" s="273">
        <f>'[14]Sch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'[14]Sch C'!D169</f>
        <v>0</v>
      </c>
      <c r="D161" s="273">
        <f>'[14]Sch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'[14]Sch C'!D170</f>
        <v>0</v>
      </c>
      <c r="D162" s="273">
        <f>'[14]Sch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'[14]Sch C'!D171</f>
        <v>125316</v>
      </c>
      <c r="D163" s="273">
        <f>'[14]Sch C'!F171</f>
        <v>0</v>
      </c>
      <c r="E163" s="259">
        <f t="shared" si="38"/>
        <v>125316</v>
      </c>
      <c r="F163" s="183"/>
      <c r="G163" s="183">
        <f t="shared" si="40"/>
        <v>125316</v>
      </c>
      <c r="H163" s="181">
        <f t="shared" si="41"/>
        <v>2.7178032449815145E-2</v>
      </c>
      <c r="J163" s="136"/>
      <c r="K163" s="136"/>
      <c r="M163" s="237">
        <f t="shared" si="39"/>
        <v>4.4922569544020652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649605</v>
      </c>
      <c r="D164" s="273">
        <f>SUM(D150:D163)</f>
        <v>112500.14000000001</v>
      </c>
      <c r="E164" s="183">
        <f>SUM(E150:E163)</f>
        <v>762105.14</v>
      </c>
      <c r="F164" s="183">
        <f>SUM(F150:F163)</f>
        <v>0</v>
      </c>
      <c r="G164" s="183">
        <f>IF(ISERROR(E164+F164),"",(E164+F164))</f>
        <v>762105.14</v>
      </c>
      <c r="H164" s="181">
        <f>IF(ISERROR(G164/$G$183),"",(G164/$G$183))</f>
        <v>0.16528231211569883</v>
      </c>
      <c r="J164" s="136"/>
      <c r="K164" s="136"/>
      <c r="M164" s="237">
        <f t="shared" si="39"/>
        <v>27.319513191855464</v>
      </c>
      <c r="N164" s="243">
        <f>SUMMARY!M164</f>
        <v>48.166333206280392</v>
      </c>
      <c r="O164" s="238">
        <f>M164/N164-1</f>
        <v>-0.43280894821586124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'[14]Sch C'!D186</f>
        <v>0</v>
      </c>
      <c r="D167" s="273">
        <f>'[14]Sch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'[14]Sch C'!D187</f>
        <v>0</v>
      </c>
      <c r="D168" s="273">
        <f>'[14]Sch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'[14]Sch C'!D188</f>
        <v>0</v>
      </c>
      <c r="D169" s="273">
        <f>'[14]Sch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'[14]Sch C'!D189</f>
        <v>0</v>
      </c>
      <c r="D170" s="273">
        <f>'[14]Sch C'!F189</f>
        <v>0</v>
      </c>
      <c r="E170" s="259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37">
        <f t="shared" si="43"/>
        <v>0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'[14]Sch C'!D190</f>
        <v>0</v>
      </c>
      <c r="D171" s="273">
        <f>'[14]Sch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'[14]Sch C'!D191</f>
        <v>3794</v>
      </c>
      <c r="D172" s="273">
        <f>'[14]Sch C'!F191</f>
        <v>0</v>
      </c>
      <c r="E172" s="259">
        <f t="shared" si="42"/>
        <v>3794</v>
      </c>
      <c r="F172" s="183"/>
      <c r="G172" s="183">
        <f t="shared" ref="G172:G181" si="44">IF(ISERROR(E172+F172),"",(E172+F172))</f>
        <v>3794</v>
      </c>
      <c r="H172" s="181">
        <f t="shared" ref="H172:H180" si="45">IF(ISERROR(G172/$G$183),"",(G172/$G$183))</f>
        <v>8.2282753291358375E-4</v>
      </c>
      <c r="I172" s="215"/>
      <c r="J172" s="211"/>
      <c r="K172" s="42"/>
      <c r="M172" s="237">
        <f t="shared" si="43"/>
        <v>0.13600516203039861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'[14]Sch C'!D192</f>
        <v>3077</v>
      </c>
      <c r="D173" s="273">
        <f>'[14]Sch C'!F192</f>
        <v>0</v>
      </c>
      <c r="E173" s="259">
        <f t="shared" si="42"/>
        <v>3077</v>
      </c>
      <c r="F173" s="183"/>
      <c r="G173" s="183">
        <f t="shared" si="44"/>
        <v>3077</v>
      </c>
      <c r="H173" s="181">
        <f t="shared" si="45"/>
        <v>6.6732744300872357E-4</v>
      </c>
      <c r="I173" s="215"/>
      <c r="J173" s="211"/>
      <c r="K173" s="42"/>
      <c r="M173" s="237">
        <f t="shared" si="43"/>
        <v>0.11030255233725265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'[14]Sch C'!D193</f>
        <v>0</v>
      </c>
      <c r="D174" s="273">
        <f>'[14]Sch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'[14]Sch C'!D194</f>
        <v>0</v>
      </c>
      <c r="D175" s="273">
        <f>'[14]Sch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'[14]Sch C'!D195</f>
        <v>0</v>
      </c>
      <c r="D176" s="273">
        <f>'[14]Sch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'[14]Sch C'!D196</f>
        <v>0</v>
      </c>
      <c r="D177" s="273">
        <f>'[14]Sch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'[14]Sch C'!D197</f>
        <v>0</v>
      </c>
      <c r="D178" s="273">
        <f>'[14]Sch C'!F197</f>
        <v>0</v>
      </c>
      <c r="E178" s="259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'[14]Sch C'!D198</f>
        <v>0</v>
      </c>
      <c r="D179" s="273">
        <f>'[14]Sch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'[14]Sch C'!D199</f>
        <v>0</v>
      </c>
      <c r="D180" s="273">
        <f>'[14]Sch C'!F199</f>
        <v>0</v>
      </c>
      <c r="E180" s="259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6871</v>
      </c>
      <c r="D181" s="273">
        <f>SUM(D167:D180)</f>
        <v>0</v>
      </c>
      <c r="E181" s="218">
        <f>SUM(E167:E180)</f>
        <v>6871</v>
      </c>
      <c r="F181" s="218">
        <f>SUM(F167:F180)</f>
        <v>0</v>
      </c>
      <c r="G181" s="183">
        <f t="shared" si="44"/>
        <v>6871</v>
      </c>
      <c r="H181" s="181">
        <f>IF(ISERROR(G181/$G$183),"",(G181/$G$183))</f>
        <v>1.4901549759223074E-3</v>
      </c>
      <c r="I181" s="219"/>
      <c r="J181" s="211"/>
      <c r="K181" s="211"/>
      <c r="M181" s="237">
        <f t="shared" si="43"/>
        <v>0.24630771436765128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4839127</v>
      </c>
      <c r="D183" s="273">
        <f>SUM(D21:D181)/2</f>
        <v>-228197.19000000018</v>
      </c>
      <c r="E183" s="258">
        <f>SUM(E21:E181)/2</f>
        <v>4610929.8100000005</v>
      </c>
      <c r="F183" s="179">
        <f>SUM(F21:F181)/2</f>
        <v>0</v>
      </c>
      <c r="G183" s="179">
        <f>SUM(G21:G181)/2</f>
        <v>4610929.8100000005</v>
      </c>
      <c r="H183" s="181">
        <f>IF(ISERROR(G183/$G$183),"",(G183/$G$183))</f>
        <v>1</v>
      </c>
      <c r="J183" s="261">
        <f>SUM(J21:J181)</f>
        <v>182717.72999999998</v>
      </c>
      <c r="K183" s="261">
        <f>SUM(K21:K181)</f>
        <v>194102.88999999998</v>
      </c>
      <c r="M183" s="237">
        <f>IFERROR(G183/G$198,0)</f>
        <v>165.28999892457702</v>
      </c>
      <c r="N183" s="243">
        <f>SUMMARY!M183</f>
        <v>169.52310231129192</v>
      </c>
      <c r="P183" s="178">
        <f>SUM(P57:P181)</f>
        <v>1.6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'[14]Sch C'!D204</f>
        <v>4839127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468673</v>
      </c>
      <c r="D190" s="273">
        <f>D17-D183</f>
        <v>215101.19000000018</v>
      </c>
      <c r="E190" s="259">
        <f>E17-E183</f>
        <v>683774.18999999948</v>
      </c>
      <c r="F190" s="180">
        <f>F17-F183</f>
        <v>0</v>
      </c>
      <c r="G190" s="180">
        <f>G17-G183</f>
        <v>683774.18999999948</v>
      </c>
      <c r="J190" s="136"/>
      <c r="K190" s="136"/>
      <c r="M190" s="237">
        <f>IFERROR(G190/G$198,0)</f>
        <v>24.511549684542569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'[14]Sch D'!C9</f>
        <v>27835</v>
      </c>
      <c r="D194" s="313"/>
      <c r="E194" s="264">
        <f>C194+D194</f>
        <v>27835</v>
      </c>
      <c r="F194" s="224"/>
      <c r="G194" s="225">
        <f>E194+F194</f>
        <v>27835</v>
      </c>
      <c r="H194" s="181">
        <f>IF(ISERROR(G194/$G$198),"",(G194/$G$198))</f>
        <v>0.99781330656724976</v>
      </c>
      <c r="I194" s="43"/>
      <c r="J194" s="136"/>
      <c r="K194" s="136"/>
    </row>
    <row r="195" spans="1:11">
      <c r="A195" s="42"/>
      <c r="B195" s="116" t="s">
        <v>249</v>
      </c>
      <c r="C195" s="282">
        <f>'[14]Sch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'[14]Sch D'!E9</f>
        <v>61</v>
      </c>
      <c r="D196" s="313"/>
      <c r="E196" s="227">
        <f>C196+D196</f>
        <v>61</v>
      </c>
      <c r="F196" s="226"/>
      <c r="G196" s="227">
        <f>E196+F196</f>
        <v>61</v>
      </c>
      <c r="H196" s="181">
        <f>IF(ISERROR(G196/$G$198),"",(G196/$G$198))</f>
        <v>2.186693432750215E-3</v>
      </c>
      <c r="I196" s="43"/>
      <c r="J196" s="136"/>
      <c r="K196" s="136"/>
    </row>
    <row r="197" spans="1:11">
      <c r="A197" s="42"/>
      <c r="B197" s="116" t="s">
        <v>342</v>
      </c>
      <c r="C197" s="282">
        <f>'[14]Sch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27896</v>
      </c>
      <c r="D198" s="313"/>
      <c r="E198" s="265">
        <f>SUM(E194:E197)</f>
        <v>27896</v>
      </c>
      <c r="F198" s="229">
        <f>SUM(F194:F197)</f>
        <v>0</v>
      </c>
      <c r="G198" s="229">
        <f>SUM(G194:G197)</f>
        <v>27896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'[14]Sch D'!G22</f>
        <v>82</v>
      </c>
      <c r="D201" s="312"/>
      <c r="E201" s="264">
        <f>C201+D201</f>
        <v>82</v>
      </c>
      <c r="F201" s="224"/>
      <c r="G201" s="231">
        <f>E201+F201</f>
        <v>82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'[14]Sch D'!G24</f>
        <v>82</v>
      </c>
      <c r="D202" s="312"/>
      <c r="E202" s="264">
        <f>C202+D202</f>
        <v>82</v>
      </c>
      <c r="F202" s="226"/>
      <c r="G202" s="231">
        <f>E202+F202</f>
        <v>82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'[14]Sch D'!G28</f>
        <v>30012</v>
      </c>
      <c r="D205" s="283"/>
      <c r="E205" s="260">
        <f>E201*E203</f>
        <v>30012</v>
      </c>
      <c r="F205" s="260">
        <f>G201*F203</f>
        <v>0</v>
      </c>
      <c r="G205" s="224">
        <f>G201*G203</f>
        <v>30012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'[14]Sch D'!G30</f>
        <v>0.92949486871917897</v>
      </c>
      <c r="D206" s="36"/>
      <c r="E206" s="266">
        <f>IFERROR(E198/E205,"0")</f>
        <v>0.92949486871917897</v>
      </c>
      <c r="F206" s="337" t="str">
        <f>IFERROR(F198/F205,"")</f>
        <v/>
      </c>
      <c r="G206" s="233">
        <f>G198/G205</f>
        <v>0.92949486871917897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'[14]Sch D'!G32</f>
        <v>0.92746234839397579</v>
      </c>
      <c r="D207" s="36"/>
      <c r="E207" s="266">
        <f>IFERROR((E194+E195)/E205,"0")</f>
        <v>0.92746234839397579</v>
      </c>
      <c r="F207" s="337" t="str">
        <f>IFERROR(((F194+F195)/F205),"")</f>
        <v/>
      </c>
      <c r="G207" s="233">
        <f>(G194+G195)/G205</f>
        <v>0.92746234839397579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'[14]Sch D'!G34</f>
        <v>0.99781330656724987</v>
      </c>
      <c r="D208" s="36"/>
      <c r="E208" s="266">
        <f>IFERROR(E207/E206,"0")</f>
        <v>0.99781330656724987</v>
      </c>
      <c r="F208" s="337" t="str">
        <f>IFERROR(F207/F206,"")</f>
        <v/>
      </c>
      <c r="G208" s="233">
        <f>G207/G206</f>
        <v>0.99781330656724987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76"/>
    </row>
    <row r="211" spans="1:11">
      <c r="F211" s="51" t="s">
        <v>306</v>
      </c>
      <c r="G211" s="276"/>
    </row>
    <row r="212" spans="1:11">
      <c r="F212" s="51" t="s">
        <v>307</v>
      </c>
      <c r="G212" s="276"/>
    </row>
    <row r="213" spans="1:11">
      <c r="F213" s="51" t="s">
        <v>308</v>
      </c>
      <c r="G213" s="329">
        <v>182.90163934426229</v>
      </c>
    </row>
  </sheetData>
  <phoneticPr fontId="0" type="noConversion"/>
  <conditionalFormatting sqref="D2">
    <cfRule type="cellIs" dxfId="7" priority="2" stopIfTrue="1" operator="equal">
      <formula>0</formula>
    </cfRule>
  </conditionalFormatting>
  <conditionalFormatting sqref="C2">
    <cfRule type="cellIs" dxfId="6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FFFF00"/>
    <pageSetUpPr fitToPage="1"/>
  </sheetPr>
  <dimension ref="A1:P213"/>
  <sheetViews>
    <sheetView showGridLines="0" topLeftCell="A196" zoomScaleNormal="10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8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405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399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28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8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'[15]Sch B'!E10</f>
        <v>336026</v>
      </c>
      <c r="D12" s="273">
        <f>'[15]Sch B'!G10</f>
        <v>0</v>
      </c>
      <c r="E12" s="259">
        <f>SUM(C12:D12)</f>
        <v>336026</v>
      </c>
      <c r="F12" s="180">
        <v>663509</v>
      </c>
      <c r="G12" s="180">
        <f>IF(ISERROR(E12+F12)," ",(E12+F12))</f>
        <v>999535</v>
      </c>
      <c r="H12" s="181">
        <f t="shared" ref="H12:H17" si="0">IF(ISERROR(G12/$G$17),"",(G12/$G$17))</f>
        <v>0.99162802586134857</v>
      </c>
      <c r="J12" s="246" t="s">
        <v>346</v>
      </c>
      <c r="K12" s="247">
        <f>G17</f>
        <v>1007973.73</v>
      </c>
      <c r="M12" s="237">
        <f>IFERROR(G12/G$194,0)</f>
        <v>177.97987891737893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'[15]Sch B'!E15</f>
        <v>0</v>
      </c>
      <c r="D13" s="273">
        <f>'[15]Sch B'!G15</f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980314.66999999993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'[15]Sch B'!E20</f>
        <v>0</v>
      </c>
      <c r="D14" s="273">
        <f>'[15]Sch B'!G20</f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5616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'[15]Sch B'!E25</f>
        <v>0</v>
      </c>
      <c r="D15" s="273">
        <f>'[15]Sch B'!G25</f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'[15]Sch B'!E40</f>
        <v>0</v>
      </c>
      <c r="D16" s="273">
        <f>'[15]Sch B'!G40</f>
        <v>1341.73</v>
      </c>
      <c r="E16" s="259">
        <f t="shared" si="1"/>
        <v>1341.73</v>
      </c>
      <c r="F16" s="183">
        <v>7097</v>
      </c>
      <c r="G16" s="183">
        <f>IF(ISERROR(E16+F16),"",(E16+F16))</f>
        <v>8438.73</v>
      </c>
      <c r="H16" s="184">
        <f t="shared" si="0"/>
        <v>8.3719741386514106E-3</v>
      </c>
      <c r="J16" s="248" t="s">
        <v>350</v>
      </c>
      <c r="K16" s="249">
        <f>G205</f>
        <v>5856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336026</v>
      </c>
      <c r="D17" s="273">
        <f>SUM(D12:D16)</f>
        <v>1341.73</v>
      </c>
      <c r="E17" s="183">
        <f>SUM(E12:E16)</f>
        <v>337367.73</v>
      </c>
      <c r="F17" s="183">
        <f>SUM(F12:F16)</f>
        <v>670606</v>
      </c>
      <c r="G17" s="183">
        <f>IF(ISERROR(E17+F17),"",(E17+F17))</f>
        <v>1007973.73</v>
      </c>
      <c r="H17" s="184">
        <f t="shared" si="0"/>
        <v>1</v>
      </c>
      <c r="J17" s="248"/>
      <c r="K17" s="249"/>
      <c r="M17" s="237">
        <f>IFERROR(G17/G$198,0)</f>
        <v>179.48250178062679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36082.833333333336</v>
      </c>
    </row>
    <row r="19" spans="1:14">
      <c r="A19" s="31" t="s">
        <v>336</v>
      </c>
      <c r="B19" s="187" t="s">
        <v>157</v>
      </c>
      <c r="C19" s="168"/>
      <c r="D19" s="25"/>
      <c r="F19" s="328" t="s">
        <v>393</v>
      </c>
      <c r="G19" s="25"/>
      <c r="J19" s="250" t="s">
        <v>309</v>
      </c>
      <c r="K19" s="251">
        <f>K183</f>
        <v>37969.833333333336</v>
      </c>
    </row>
    <row r="20" spans="1:14">
      <c r="A20" s="188" t="s">
        <v>197</v>
      </c>
      <c r="B20" s="164" t="s">
        <v>19</v>
      </c>
      <c r="F20" s="328" t="s">
        <v>394</v>
      </c>
    </row>
    <row r="21" spans="1:14" s="43" customFormat="1">
      <c r="A21" s="130" t="s">
        <v>198</v>
      </c>
      <c r="B21" s="116" t="s">
        <v>20</v>
      </c>
      <c r="C21" s="273">
        <f>'[15]Sch C'!D10</f>
        <v>8336</v>
      </c>
      <c r="D21" s="273">
        <f>'[15]Sch C'!F10</f>
        <v>0</v>
      </c>
      <c r="E21" s="259">
        <f t="shared" ref="E21:E56" si="2">SUM(C21:D21)</f>
        <v>8336</v>
      </c>
      <c r="F21" s="180">
        <v>26726</v>
      </c>
      <c r="G21" s="180">
        <f t="shared" ref="G21:G57" si="3">IF(ISERROR(E21+F21),"",(E21+F21))</f>
        <v>35062</v>
      </c>
      <c r="H21" s="181">
        <f>IF(ISERROR(G21/$G$183),"",(G21/$G$183))</f>
        <v>3.5766066828317483E-2</v>
      </c>
      <c r="J21" s="261">
        <f>465.333333333333+888</f>
        <v>1353.333333333333</v>
      </c>
      <c r="K21" s="261">
        <f>533.333333333333+1000</f>
        <v>1533.333333333333</v>
      </c>
      <c r="M21" s="237">
        <f>IFERROR(G21/G$198,0)</f>
        <v>6.2432336182336181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'[15]Sch C'!D11</f>
        <v>0</v>
      </c>
      <c r="D22" s="273">
        <f>'[15]Sch C'!F11</f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'[15]Sch C'!D12</f>
        <v>4890</v>
      </c>
      <c r="D23" s="273">
        <f>'[15]Sch C'!F12</f>
        <v>0</v>
      </c>
      <c r="E23" s="259">
        <f t="shared" si="2"/>
        <v>4890</v>
      </c>
      <c r="F23" s="183">
        <v>9422</v>
      </c>
      <c r="G23" s="183">
        <f t="shared" si="3"/>
        <v>14312</v>
      </c>
      <c r="H23" s="181">
        <f t="shared" si="4"/>
        <v>1.4599393886454847E-2</v>
      </c>
      <c r="J23" s="189">
        <f>136+648</f>
        <v>784</v>
      </c>
      <c r="K23" s="189">
        <f>146.666666666667+680</f>
        <v>826.66666666666697</v>
      </c>
      <c r="M23" s="237">
        <f t="shared" si="5"/>
        <v>2.5484330484330484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'[15]Sch C'!D13</f>
        <v>11450</v>
      </c>
      <c r="D24" s="273">
        <f>'[15]Sch C'!F13</f>
        <v>-10081</v>
      </c>
      <c r="E24" s="259">
        <f t="shared" si="2"/>
        <v>1369</v>
      </c>
      <c r="F24" s="183">
        <v>4912</v>
      </c>
      <c r="G24" s="183">
        <f t="shared" si="3"/>
        <v>6281</v>
      </c>
      <c r="H24" s="181">
        <f t="shared" si="4"/>
        <v>6.4071263974862279E-3</v>
      </c>
      <c r="J24" s="136"/>
      <c r="K24" s="136"/>
      <c r="M24" s="237">
        <f t="shared" si="5"/>
        <v>1.1184116809116809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'[15]Sch C'!D14</f>
        <v>0</v>
      </c>
      <c r="D25" s="273">
        <f>'[15]Sch C'!F14</f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'[15]Sch C'!D15</f>
        <v>19578</v>
      </c>
      <c r="D26" s="273">
        <f>'[15]Sch C'!F15</f>
        <v>0</v>
      </c>
      <c r="E26" s="259">
        <f t="shared" si="2"/>
        <v>19578</v>
      </c>
      <c r="F26" s="183">
        <v>40099</v>
      </c>
      <c r="G26" s="183">
        <f t="shared" si="3"/>
        <v>59677</v>
      </c>
      <c r="H26" s="181">
        <f t="shared" si="4"/>
        <v>6.0875351380796951E-2</v>
      </c>
      <c r="J26" s="136"/>
      <c r="K26" s="136"/>
      <c r="M26" s="237">
        <f t="shared" si="5"/>
        <v>10.626246438746438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'[15]Sch C'!D16</f>
        <v>56703</v>
      </c>
      <c r="D27" s="273">
        <f>'[15]Sch C'!F16</f>
        <v>1170.67</v>
      </c>
      <c r="E27" s="259">
        <f t="shared" si="2"/>
        <v>57873.67</v>
      </c>
      <c r="F27" s="183">
        <v>33742</v>
      </c>
      <c r="G27" s="183">
        <f t="shared" si="3"/>
        <v>91615.67</v>
      </c>
      <c r="H27" s="181">
        <f t="shared" si="4"/>
        <v>9.3455369794680318E-2</v>
      </c>
      <c r="J27" s="136"/>
      <c r="K27" s="136"/>
      <c r="M27" s="237">
        <f t="shared" si="5"/>
        <v>16.313331552706554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'[15]Sch C'!D17</f>
        <v>0</v>
      </c>
      <c r="D28" s="273">
        <f>'[15]Sch C'!F17</f>
        <v>0</v>
      </c>
      <c r="E28" s="259">
        <f t="shared" si="2"/>
        <v>0</v>
      </c>
      <c r="F28" s="183">
        <v>264</v>
      </c>
      <c r="G28" s="183">
        <f t="shared" si="3"/>
        <v>264</v>
      </c>
      <c r="H28" s="181">
        <f t="shared" si="4"/>
        <v>2.6930128465791503E-4</v>
      </c>
      <c r="J28" s="136"/>
      <c r="K28" s="136"/>
      <c r="M28" s="237">
        <f t="shared" si="5"/>
        <v>4.7008547008547008E-2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'[15]Sch C'!D18</f>
        <v>2759</v>
      </c>
      <c r="D29" s="273">
        <f>'[15]Sch C'!F18</f>
        <v>0</v>
      </c>
      <c r="E29" s="259">
        <f t="shared" si="2"/>
        <v>2759</v>
      </c>
      <c r="F29" s="183">
        <v>5859</v>
      </c>
      <c r="G29" s="183">
        <f t="shared" si="3"/>
        <v>8618</v>
      </c>
      <c r="H29" s="181">
        <f t="shared" si="4"/>
        <v>8.7910548150829989E-3</v>
      </c>
      <c r="J29" s="136"/>
      <c r="K29" s="136"/>
      <c r="M29" s="237">
        <f t="shared" si="5"/>
        <v>1.5345441595441596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'[15]Sch C'!D19</f>
        <v>1498</v>
      </c>
      <c r="D30" s="273">
        <f>'[15]Sch C'!F19</f>
        <v>0</v>
      </c>
      <c r="E30" s="259">
        <f t="shared" si="2"/>
        <v>1498</v>
      </c>
      <c r="F30" s="183">
        <v>1835</v>
      </c>
      <c r="G30" s="183">
        <f t="shared" si="3"/>
        <v>3333</v>
      </c>
      <c r="H30" s="181">
        <f t="shared" si="4"/>
        <v>3.3999287188061769E-3</v>
      </c>
      <c r="J30" s="136"/>
      <c r="K30" s="136"/>
      <c r="M30" s="237">
        <f t="shared" si="5"/>
        <v>0.59348290598290598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'[15]Sch C'!D20</f>
        <v>1358</v>
      </c>
      <c r="D31" s="273">
        <f>'[15]Sch C'!F20</f>
        <v>-1191.7</v>
      </c>
      <c r="E31" s="259">
        <f t="shared" si="2"/>
        <v>166.29999999999995</v>
      </c>
      <c r="F31" s="183">
        <v>77</v>
      </c>
      <c r="G31" s="183">
        <f t="shared" si="3"/>
        <v>243.29999999999995</v>
      </c>
      <c r="H31" s="181">
        <f t="shared" si="4"/>
        <v>2.4818561574723754E-4</v>
      </c>
      <c r="J31" s="136"/>
      <c r="K31" s="136"/>
      <c r="M31" s="237">
        <f t="shared" si="5"/>
        <v>4.3322649572649564E-2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'[15]Sch C'!D21</f>
        <v>0</v>
      </c>
      <c r="D32" s="273">
        <f>'[15]Sch C'!F21</f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'[15]Sch C'!D22</f>
        <v>0</v>
      </c>
      <c r="D33" s="273">
        <f>'[15]Sch C'!F22</f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'[15]Sch C'!D23</f>
        <v>3187</v>
      </c>
      <c r="D34" s="273">
        <f>'[15]Sch C'!F23</f>
        <v>0</v>
      </c>
      <c r="E34" s="259">
        <f t="shared" si="2"/>
        <v>3187</v>
      </c>
      <c r="F34" s="183">
        <v>6941</v>
      </c>
      <c r="G34" s="183">
        <f t="shared" si="3"/>
        <v>10128</v>
      </c>
      <c r="H34" s="181">
        <f t="shared" si="4"/>
        <v>1.0331376556876376E-2</v>
      </c>
      <c r="J34" s="136"/>
      <c r="K34" s="136"/>
      <c r="M34" s="237">
        <f t="shared" si="5"/>
        <v>1.8034188034188035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'[15]Sch C'!D24</f>
        <v>0</v>
      </c>
      <c r="D35" s="273">
        <f>'[15]Sch C'!F24</f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'[15]Sch C'!D25</f>
        <v>466</v>
      </c>
      <c r="D36" s="273">
        <f>'[15]Sch C'!F25</f>
        <v>-147.91</v>
      </c>
      <c r="E36" s="259">
        <f t="shared" si="2"/>
        <v>318.09000000000003</v>
      </c>
      <c r="F36" s="183">
        <v>0</v>
      </c>
      <c r="G36" s="183">
        <f t="shared" si="3"/>
        <v>318.09000000000003</v>
      </c>
      <c r="H36" s="181">
        <f t="shared" si="4"/>
        <v>3.2447744559407649E-4</v>
      </c>
      <c r="J36" s="136"/>
      <c r="K36" s="136"/>
      <c r="M36" s="237">
        <f t="shared" si="5"/>
        <v>5.6639957264957269E-2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'[15]Sch C'!D26</f>
        <v>15972</v>
      </c>
      <c r="D37" s="273">
        <f>'[15]Sch C'!F26</f>
        <v>0</v>
      </c>
      <c r="E37" s="259">
        <f t="shared" si="2"/>
        <v>15972</v>
      </c>
      <c r="F37" s="183">
        <v>31539</v>
      </c>
      <c r="G37" s="183">
        <f t="shared" si="3"/>
        <v>47511</v>
      </c>
      <c r="H37" s="181">
        <f t="shared" si="4"/>
        <v>4.8465050512811365E-2</v>
      </c>
      <c r="J37" s="136"/>
      <c r="K37" s="136"/>
      <c r="M37" s="237">
        <f t="shared" si="5"/>
        <v>8.4599358974358978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'[15]Sch C'!D27</f>
        <v>0</v>
      </c>
      <c r="D38" s="273">
        <f>'[15]Sch C'!F27</f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'[15]Sch C'!D28</f>
        <v>0</v>
      </c>
      <c r="D39" s="273">
        <f>'[15]Sch C'!F28</f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'[15]Sch C'!D29</f>
        <v>0</v>
      </c>
      <c r="D40" s="273">
        <f>'[15]Sch C'!F29</f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'[15]Sch C'!D30</f>
        <v>0</v>
      </c>
      <c r="D41" s="273">
        <f>'[15]Sch C'!F30</f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'[15]Sch C'!D31</f>
        <v>2812</v>
      </c>
      <c r="D42" s="273">
        <f>'[15]Sch C'!F31</f>
        <v>0</v>
      </c>
      <c r="E42" s="259">
        <f t="shared" si="2"/>
        <v>2812</v>
      </c>
      <c r="F42" s="183">
        <v>5036</v>
      </c>
      <c r="G42" s="183">
        <f t="shared" si="3"/>
        <v>7848</v>
      </c>
      <c r="H42" s="181">
        <f t="shared" si="4"/>
        <v>8.0055927348307455E-3</v>
      </c>
      <c r="J42" s="136"/>
      <c r="K42" s="136"/>
      <c r="M42" s="237">
        <f t="shared" si="5"/>
        <v>1.3974358974358974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'[15]Sch C'!D32</f>
        <v>0</v>
      </c>
      <c r="D43" s="273">
        <f>'[15]Sch C'!F32</f>
        <v>0</v>
      </c>
      <c r="E43" s="259">
        <f t="shared" si="2"/>
        <v>0</v>
      </c>
      <c r="F43" s="183">
        <v>1277</v>
      </c>
      <c r="G43" s="183">
        <f t="shared" si="3"/>
        <v>1277</v>
      </c>
      <c r="H43" s="181">
        <f t="shared" si="4"/>
        <v>1.3026429564702935E-3</v>
      </c>
      <c r="J43" s="136"/>
      <c r="K43" s="136"/>
      <c r="M43" s="237">
        <f t="shared" si="5"/>
        <v>0.22738603988603989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'[15]Sch C'!D33</f>
        <v>0</v>
      </c>
      <c r="D44" s="273">
        <f>'[15]Sch C'!F33</f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'[15]Sch C'!D34</f>
        <v>0</v>
      </c>
      <c r="D45" s="273">
        <f>'[15]Sch C'!F34</f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'[15]Sch C'!D35</f>
        <v>0</v>
      </c>
      <c r="D46" s="273">
        <f>'[15]Sch C'!F35</f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'[15]Sch C'!D36</f>
        <v>0</v>
      </c>
      <c r="D47" s="273">
        <f>'[15]Sch C'!F36</f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'[15]Sch C'!D37</f>
        <v>0</v>
      </c>
      <c r="D48" s="273">
        <f>'[15]Sch C'!F37</f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'[15]Sch C'!D38</f>
        <v>0</v>
      </c>
      <c r="D49" s="273">
        <f>'[15]Sch C'!F38</f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'[15]Sch C'!D39</f>
        <v>286</v>
      </c>
      <c r="D50" s="273">
        <f>'[15]Sch C'!F39</f>
        <v>0</v>
      </c>
      <c r="E50" s="259">
        <f t="shared" si="2"/>
        <v>286</v>
      </c>
      <c r="F50" s="183">
        <v>0</v>
      </c>
      <c r="G50" s="183">
        <f t="shared" si="3"/>
        <v>286</v>
      </c>
      <c r="H50" s="181">
        <f t="shared" si="4"/>
        <v>2.9174305837940793E-4</v>
      </c>
      <c r="J50" s="136"/>
      <c r="K50" s="136"/>
      <c r="M50" s="237">
        <f t="shared" si="5"/>
        <v>5.0925925925925923E-2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'[15]Sch C'!D40</f>
        <v>0</v>
      </c>
      <c r="D51" s="273">
        <f>'[15]Sch C'!F40</f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'[15]Sch C'!D41</f>
        <v>2132</v>
      </c>
      <c r="D52" s="273">
        <f>'[15]Sch C'!F41</f>
        <v>0</v>
      </c>
      <c r="E52" s="259">
        <f t="shared" si="2"/>
        <v>2132</v>
      </c>
      <c r="F52" s="183">
        <v>1853</v>
      </c>
      <c r="G52" s="183">
        <f t="shared" si="3"/>
        <v>3985</v>
      </c>
      <c r="H52" s="181">
        <f t="shared" si="4"/>
        <v>4.065021285461331E-3</v>
      </c>
      <c r="J52" s="136"/>
      <c r="K52" s="136"/>
      <c r="M52" s="237">
        <f t="shared" si="5"/>
        <v>0.70957977207977208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'[15]Sch C'!D42</f>
        <v>0</v>
      </c>
      <c r="D53" s="273">
        <f>'[15]Sch C'!F42</f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'[15]Sch C'!D43</f>
        <v>0</v>
      </c>
      <c r="D54" s="273">
        <f>'[15]Sch C'!F43</f>
        <v>0</v>
      </c>
      <c r="E54" s="259">
        <f t="shared" si="2"/>
        <v>0</v>
      </c>
      <c r="F54" s="183">
        <v>226</v>
      </c>
      <c r="G54" s="183">
        <f t="shared" si="3"/>
        <v>226</v>
      </c>
      <c r="H54" s="181">
        <f t="shared" si="4"/>
        <v>2.3053822095715453E-4</v>
      </c>
      <c r="J54" s="136"/>
      <c r="K54" s="136"/>
      <c r="M54" s="237">
        <f t="shared" si="5"/>
        <v>4.0242165242165243E-2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'[15]Sch C'!D44</f>
        <v>0</v>
      </c>
      <c r="D55" s="273">
        <f>'[15]Sch C'!F44</f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'[15]Sch C'!D45</f>
        <v>0</v>
      </c>
      <c r="D56" s="273">
        <f>'[15]Sch C'!F45</f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131427</v>
      </c>
      <c r="D57" s="273">
        <f>SUM(D21:D56)</f>
        <v>-10249.94</v>
      </c>
      <c r="E57" s="183">
        <f>SUM(E21:E56)</f>
        <v>121177.06</v>
      </c>
      <c r="F57" s="183">
        <f>SUM(F21:F56)</f>
        <v>169808</v>
      </c>
      <c r="G57" s="183">
        <f t="shared" si="3"/>
        <v>290985.06</v>
      </c>
      <c r="H57" s="181">
        <f t="shared" si="4"/>
        <v>0.29682822149341093</v>
      </c>
      <c r="J57" s="136"/>
      <c r="K57" s="136"/>
      <c r="M57" s="237">
        <f t="shared" si="5"/>
        <v>51.81357905982906</v>
      </c>
      <c r="N57" s="243">
        <f>SUMMARY!M57</f>
        <v>39.672950949912064</v>
      </c>
      <c r="O57" s="238">
        <f>M57/N57-1</f>
        <v>0.30601777329961655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'[15]Sch C'!D57</f>
        <v>314</v>
      </c>
      <c r="D60" s="273">
        <f>'[15]Sch C'!F57</f>
        <v>0</v>
      </c>
      <c r="E60" s="259">
        <f t="shared" ref="E60:E76" si="6">SUM(C60:D60)</f>
        <v>314</v>
      </c>
      <c r="F60" s="179">
        <v>54580</v>
      </c>
      <c r="G60" s="179">
        <f>IF(ISERROR(E60+F60),"",(E60+F60))</f>
        <v>54894</v>
      </c>
      <c r="H60" s="181">
        <f>IF(ISERROR(G60/$G$183),"",(G60/$G$183))</f>
        <v>5.5996305757619644E-2</v>
      </c>
      <c r="J60" s="136"/>
      <c r="K60" s="136"/>
      <c r="M60" s="237">
        <f>IFERROR(G60/G$198,0)</f>
        <v>9.774572649572649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'[15]Sch C'!D58</f>
        <v>3766</v>
      </c>
      <c r="D61" s="273">
        <f>'[15]Sch C'!F58</f>
        <v>0</v>
      </c>
      <c r="E61" s="259">
        <f t="shared" si="6"/>
        <v>3766</v>
      </c>
      <c r="F61" s="179">
        <v>0</v>
      </c>
      <c r="G61" s="179">
        <f t="shared" ref="G61:G76" si="7">IF(ISERROR(E61+F61),"",(E61+F61))</f>
        <v>3766</v>
      </c>
      <c r="H61" s="181">
        <f t="shared" ref="H61:H76" si="8">IF(ISERROR(G61/$G$183),"",(G61/$G$183))</f>
        <v>3.8416236288701059E-3</v>
      </c>
      <c r="J61" s="136"/>
      <c r="K61" s="136"/>
      <c r="M61" s="237">
        <f t="shared" ref="M61:M77" si="9">IFERROR(G61/G$198,0)</f>
        <v>0.67058404558404561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'[15]Sch C'!D59</f>
        <v>10974</v>
      </c>
      <c r="D62" s="273">
        <f>'[15]Sch C'!F59</f>
        <v>-931.39</v>
      </c>
      <c r="E62" s="259">
        <f t="shared" si="6"/>
        <v>10042.61</v>
      </c>
      <c r="F62" s="179">
        <v>3</v>
      </c>
      <c r="G62" s="179">
        <f t="shared" si="7"/>
        <v>10045.61</v>
      </c>
      <c r="H62" s="181">
        <f t="shared" si="8"/>
        <v>1.0247332114289385E-2</v>
      </c>
      <c r="J62" s="136"/>
      <c r="K62" s="136"/>
      <c r="M62" s="237">
        <f t="shared" si="9"/>
        <v>1.7887482193732194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'[15]Sch C'!D60</f>
        <v>0</v>
      </c>
      <c r="D63" s="273">
        <f>'[15]Sch C'!F60</f>
        <v>0</v>
      </c>
      <c r="E63" s="259">
        <f t="shared" si="6"/>
        <v>0</v>
      </c>
      <c r="F63" s="179">
        <v>647</v>
      </c>
      <c r="G63" s="179">
        <f t="shared" si="7"/>
        <v>647</v>
      </c>
      <c r="H63" s="181">
        <f t="shared" si="8"/>
        <v>6.5999216353663267E-4</v>
      </c>
      <c r="J63" s="136"/>
      <c r="K63" s="136"/>
      <c r="M63" s="237">
        <f t="shared" si="9"/>
        <v>0.11520655270655271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'[15]Sch C'!D61</f>
        <v>627</v>
      </c>
      <c r="D64" s="273">
        <f>'[15]Sch C'!F61</f>
        <v>0</v>
      </c>
      <c r="E64" s="259">
        <f t="shared" si="6"/>
        <v>627</v>
      </c>
      <c r="F64" s="179">
        <v>1758</v>
      </c>
      <c r="G64" s="179">
        <f t="shared" si="7"/>
        <v>2385</v>
      </c>
      <c r="H64" s="181">
        <f t="shared" si="8"/>
        <v>2.4328922875345733E-3</v>
      </c>
      <c r="J64" s="136"/>
      <c r="K64" s="136"/>
      <c r="M64" s="237">
        <f t="shared" si="9"/>
        <v>0.42467948717948717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'[15]Sch C'!D62</f>
        <v>0</v>
      </c>
      <c r="D65" s="273">
        <f>'[15]Sch C'!F62</f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'[15]Sch C'!D63</f>
        <v>0</v>
      </c>
      <c r="D66" s="273">
        <f>'[15]Sch C'!F63</f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'[15]Sch C'!D64</f>
        <v>3081</v>
      </c>
      <c r="D67" s="273">
        <f>'[15]Sch C'!F64</f>
        <v>0</v>
      </c>
      <c r="E67" s="259">
        <f t="shared" si="6"/>
        <v>3081</v>
      </c>
      <c r="F67" s="179">
        <v>0</v>
      </c>
      <c r="G67" s="179">
        <f t="shared" si="7"/>
        <v>3081</v>
      </c>
      <c r="H67" s="181">
        <f t="shared" si="8"/>
        <v>3.1428684016327128E-3</v>
      </c>
      <c r="J67" s="136"/>
      <c r="K67" s="136"/>
      <c r="M67" s="237">
        <f t="shared" si="9"/>
        <v>0.54861111111111116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'[15]Sch C'!D65</f>
        <v>250</v>
      </c>
      <c r="D68" s="273">
        <f>'[15]Sch C'!F65</f>
        <v>0</v>
      </c>
      <c r="E68" s="259">
        <f t="shared" si="6"/>
        <v>250</v>
      </c>
      <c r="F68" s="179">
        <v>0</v>
      </c>
      <c r="G68" s="179">
        <f t="shared" si="7"/>
        <v>250</v>
      </c>
      <c r="H68" s="181">
        <f t="shared" si="8"/>
        <v>2.5502015592605587E-4</v>
      </c>
      <c r="J68" s="136"/>
      <c r="K68" s="136"/>
      <c r="M68" s="237">
        <f t="shared" si="9"/>
        <v>4.4515669515669515E-2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'[15]Sch C'!D66</f>
        <v>0</v>
      </c>
      <c r="D69" s="273">
        <f>'[15]Sch C'!F66</f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'[15]Sch C'!D67</f>
        <v>727</v>
      </c>
      <c r="D70" s="273">
        <f>'[15]Sch C'!F67</f>
        <v>0</v>
      </c>
      <c r="E70" s="259">
        <f t="shared" si="6"/>
        <v>727</v>
      </c>
      <c r="F70" s="179">
        <v>1096</v>
      </c>
      <c r="G70" s="179">
        <f t="shared" si="7"/>
        <v>1823</v>
      </c>
      <c r="H70" s="181">
        <f t="shared" si="8"/>
        <v>1.8596069770127994E-3</v>
      </c>
      <c r="J70" s="136"/>
      <c r="K70" s="136"/>
      <c r="M70" s="237">
        <f t="shared" si="9"/>
        <v>0.3246082621082621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'[15]Sch C'!D68</f>
        <v>0</v>
      </c>
      <c r="D71" s="273">
        <f>'[15]Sch C'!F68</f>
        <v>0</v>
      </c>
      <c r="E71" s="259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'[15]Sch C'!D69</f>
        <v>299</v>
      </c>
      <c r="D72" s="273">
        <f>'[15]Sch C'!F69</f>
        <v>0</v>
      </c>
      <c r="E72" s="259">
        <f t="shared" si="6"/>
        <v>299</v>
      </c>
      <c r="F72" s="179">
        <v>0</v>
      </c>
      <c r="G72" s="179">
        <f t="shared" si="7"/>
        <v>299</v>
      </c>
      <c r="H72" s="181">
        <f t="shared" si="8"/>
        <v>3.0500410648756285E-4</v>
      </c>
      <c r="J72" s="136"/>
      <c r="K72" s="136"/>
      <c r="M72" s="237">
        <f t="shared" si="9"/>
        <v>5.3240740740740741E-2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'[15]Sch C'!D70</f>
        <v>0</v>
      </c>
      <c r="D73" s="273">
        <f>'[15]Sch C'!F70</f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'[15]Sch C'!D71</f>
        <v>0</v>
      </c>
      <c r="D74" s="273">
        <f>'[15]Sch C'!F71</f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'[15]Sch C'!D72</f>
        <v>0</v>
      </c>
      <c r="D75" s="273">
        <f>'[15]Sch C'!F72</f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'[15]Sch C'!D73</f>
        <v>0</v>
      </c>
      <c r="D76" s="273">
        <f>'[15]Sch C'!F73</f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20038</v>
      </c>
      <c r="D77" s="273">
        <f>SUM(D60:D76)</f>
        <v>-931.39</v>
      </c>
      <c r="E77" s="182">
        <f>SUM(E60:E76)</f>
        <v>19106.61</v>
      </c>
      <c r="F77" s="182">
        <f>SUM(F60:F76)</f>
        <v>58084</v>
      </c>
      <c r="G77" s="183">
        <f>IF(ISERROR(E77+F77),"",(E77+F77))</f>
        <v>77190.61</v>
      </c>
      <c r="H77" s="181">
        <f>IF(ISERROR(G77/$G$183),"",(G77/$G$183))</f>
        <v>7.874064559290947E-2</v>
      </c>
      <c r="J77" s="136"/>
      <c r="K77" s="136"/>
      <c r="M77" s="237">
        <f t="shared" si="9"/>
        <v>13.744766737891737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'[15]Sch C'!D78</f>
        <v>0</v>
      </c>
      <c r="D80" s="273">
        <f>'[15]Sch C'!F78</f>
        <v>0</v>
      </c>
      <c r="E80" s="259">
        <f t="shared" ref="E80:E91" si="10">SUM(C80:D80)</f>
        <v>0</v>
      </c>
      <c r="F80" s="180">
        <v>0</v>
      </c>
      <c r="G80" s="180">
        <f>IF(ISERROR(E80+F80),"",(E80+F80))</f>
        <v>0</v>
      </c>
      <c r="H80" s="181">
        <f t="shared" ref="H80:H92" si="11">IF(ISERROR(G80/$G$183),"",(G80/$G$183))</f>
        <v>0</v>
      </c>
      <c r="J80" s="261">
        <v>0</v>
      </c>
      <c r="K80" s="261">
        <v>0</v>
      </c>
      <c r="M80" s="237">
        <f t="shared" ref="M80:M92" si="12">IFERROR(G80/G$198,0)</f>
        <v>0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'[15]Sch C'!D79</f>
        <v>0</v>
      </c>
      <c r="D81" s="273">
        <f>'[15]Sch C'!F79</f>
        <v>0</v>
      </c>
      <c r="E81" s="259">
        <f t="shared" si="10"/>
        <v>0</v>
      </c>
      <c r="F81" s="183">
        <v>0</v>
      </c>
      <c r="G81" s="183">
        <f>IF(ISERROR(E81+F81),"",(E81+F81))</f>
        <v>0</v>
      </c>
      <c r="H81" s="181">
        <f t="shared" si="11"/>
        <v>0</v>
      </c>
      <c r="J81" s="136"/>
      <c r="K81" s="136"/>
      <c r="M81" s="237">
        <f t="shared" si="12"/>
        <v>0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'[15]Sch C'!D80</f>
        <v>180</v>
      </c>
      <c r="D82" s="273">
        <f>'[15]Sch C'!F80</f>
        <v>0</v>
      </c>
      <c r="E82" s="259">
        <f t="shared" si="10"/>
        <v>180</v>
      </c>
      <c r="F82" s="183">
        <v>71</v>
      </c>
      <c r="G82" s="183">
        <f>IF(ISERROR(E82+F82),"",(E82+F82))</f>
        <v>251</v>
      </c>
      <c r="H82" s="181">
        <f t="shared" si="11"/>
        <v>2.5604023654976011E-4</v>
      </c>
      <c r="J82" s="136"/>
      <c r="K82" s="136"/>
      <c r="M82" s="237">
        <f t="shared" si="12"/>
        <v>4.4693732193732197E-2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'[15]Sch C'!D81</f>
        <v>233</v>
      </c>
      <c r="D83" s="273">
        <f>'[15]Sch C'!F81</f>
        <v>0</v>
      </c>
      <c r="E83" s="259">
        <f t="shared" si="10"/>
        <v>233</v>
      </c>
      <c r="F83" s="183">
        <v>11424</v>
      </c>
      <c r="G83" s="183">
        <f>IF(ISERROR(E83+F83),"",(E83+F83))</f>
        <v>11657</v>
      </c>
      <c r="H83" s="181">
        <f t="shared" si="11"/>
        <v>1.1891079830520134E-2</v>
      </c>
      <c r="J83" s="136"/>
      <c r="K83" s="136"/>
      <c r="M83" s="237">
        <f t="shared" si="12"/>
        <v>2.0756766381766383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'[15]Sch C'!D82</f>
        <v>0</v>
      </c>
      <c r="D84" s="273">
        <f>'[15]Sch C'!F82</f>
        <v>0</v>
      </c>
      <c r="E84" s="259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'[15]Sch C'!D83</f>
        <v>716</v>
      </c>
      <c r="D85" s="273">
        <f>'[15]Sch C'!F83</f>
        <v>0</v>
      </c>
      <c r="E85" s="259">
        <f t="shared" si="10"/>
        <v>716</v>
      </c>
      <c r="F85" s="183">
        <v>156</v>
      </c>
      <c r="G85" s="183">
        <f t="shared" si="13"/>
        <v>872</v>
      </c>
      <c r="H85" s="181">
        <f t="shared" si="11"/>
        <v>8.8951030387008289E-4</v>
      </c>
      <c r="J85" s="136"/>
      <c r="K85" s="136"/>
      <c r="M85" s="237">
        <f t="shared" si="12"/>
        <v>0.15527065527065528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'[15]Sch C'!D84</f>
        <v>422</v>
      </c>
      <c r="D86" s="273">
        <f>'[15]Sch C'!F84</f>
        <v>0</v>
      </c>
      <c r="E86" s="259">
        <f t="shared" si="10"/>
        <v>422</v>
      </c>
      <c r="F86" s="183">
        <v>16604</v>
      </c>
      <c r="G86" s="183">
        <f t="shared" si="13"/>
        <v>17026</v>
      </c>
      <c r="H86" s="181">
        <f t="shared" si="11"/>
        <v>1.736789269918811E-2</v>
      </c>
      <c r="J86" s="136"/>
      <c r="K86" s="136"/>
      <c r="M86" s="237">
        <f t="shared" si="12"/>
        <v>3.0316951566951569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'[15]Sch C'!D85</f>
        <v>4924</v>
      </c>
      <c r="D87" s="273">
        <f>'[15]Sch C'!F85</f>
        <v>0</v>
      </c>
      <c r="E87" s="259">
        <f t="shared" si="10"/>
        <v>4924</v>
      </c>
      <c r="F87" s="183">
        <v>854</v>
      </c>
      <c r="G87" s="183">
        <f t="shared" si="13"/>
        <v>5778</v>
      </c>
      <c r="H87" s="181">
        <f t="shared" si="11"/>
        <v>5.8940258437630037E-3</v>
      </c>
      <c r="J87" s="136"/>
      <c r="K87" s="136"/>
      <c r="M87" s="237">
        <f t="shared" si="12"/>
        <v>1.0288461538461537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'[15]Sch C'!D86</f>
        <v>0</v>
      </c>
      <c r="D88" s="273">
        <f>'[15]Sch C'!F86</f>
        <v>0</v>
      </c>
      <c r="E88" s="259">
        <f t="shared" si="10"/>
        <v>0</v>
      </c>
      <c r="F88" s="183">
        <v>0</v>
      </c>
      <c r="G88" s="183">
        <f t="shared" si="13"/>
        <v>0</v>
      </c>
      <c r="H88" s="181">
        <f t="shared" si="11"/>
        <v>0</v>
      </c>
      <c r="J88" s="136"/>
      <c r="K88" s="136"/>
      <c r="M88" s="237">
        <f t="shared" si="12"/>
        <v>0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'[15]Sch C'!D87</f>
        <v>3815</v>
      </c>
      <c r="D89" s="273">
        <f>'[15]Sch C'!F87</f>
        <v>0</v>
      </c>
      <c r="E89" s="259">
        <f t="shared" si="10"/>
        <v>3815</v>
      </c>
      <c r="F89" s="183">
        <v>8680</v>
      </c>
      <c r="G89" s="183">
        <f t="shared" si="13"/>
        <v>12495</v>
      </c>
      <c r="H89" s="181">
        <f t="shared" si="11"/>
        <v>1.2745907393184272E-2</v>
      </c>
      <c r="J89" s="136"/>
      <c r="K89" s="136"/>
      <c r="M89" s="237">
        <f t="shared" si="12"/>
        <v>2.2248931623931623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'[15]Sch C'!D88</f>
        <v>0</v>
      </c>
      <c r="D90" s="273">
        <f>'[15]Sch C'!F88</f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'[15]Sch C'!D89</f>
        <v>2957</v>
      </c>
      <c r="D91" s="273">
        <f>'[15]Sch C'!F89</f>
        <v>0</v>
      </c>
      <c r="E91" s="259">
        <f t="shared" si="10"/>
        <v>2957</v>
      </c>
      <c r="F91" s="183">
        <v>5528</v>
      </c>
      <c r="G91" s="183">
        <f t="shared" si="13"/>
        <v>8485</v>
      </c>
      <c r="H91" s="181">
        <f t="shared" si="11"/>
        <v>8.6553840921303367E-3</v>
      </c>
      <c r="J91" s="136"/>
      <c r="K91" s="136"/>
      <c r="M91" s="237">
        <f t="shared" si="12"/>
        <v>1.5108618233618234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13247</v>
      </c>
      <c r="D92" s="273">
        <f>SUM(D80:D91)</f>
        <v>0</v>
      </c>
      <c r="E92" s="183">
        <f>SUM(E80:E91)</f>
        <v>13247</v>
      </c>
      <c r="F92" s="183">
        <f>SUM(F80:F91)</f>
        <v>43317</v>
      </c>
      <c r="G92" s="183">
        <f>IF(ISERROR(E92+F92),"",(E92+F92))</f>
        <v>56564</v>
      </c>
      <c r="H92" s="181">
        <f t="shared" si="11"/>
        <v>5.7699840399205699E-2</v>
      </c>
      <c r="J92" s="136"/>
      <c r="K92" s="136"/>
      <c r="M92" s="237">
        <f t="shared" si="12"/>
        <v>10.071937321937321</v>
      </c>
      <c r="N92" s="243">
        <f>SUMMARY!M92</f>
        <v>10.36414021133649</v>
      </c>
      <c r="O92" s="238">
        <f>M92/N92-1</f>
        <v>-2.8193644956631569E-2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'[15]Sch C'!D93</f>
        <v>6647</v>
      </c>
      <c r="D95" s="273">
        <f>'[15]Sch C'!F93</f>
        <v>0</v>
      </c>
      <c r="E95" s="259">
        <f t="shared" ref="E95:E100" si="14">SUM(C95:D95)</f>
        <v>6647</v>
      </c>
      <c r="F95" s="180">
        <v>7429</v>
      </c>
      <c r="G95" s="180">
        <f t="shared" ref="G95:G101" si="15">IF(ISERROR(E95+F95),"",(E95+F95))</f>
        <v>14076</v>
      </c>
      <c r="H95" s="181">
        <f t="shared" ref="H95:H101" si="16">IF(ISERROR(G95/$G$183),"",(G95/$G$183))</f>
        <v>1.4358654859260651E-2</v>
      </c>
      <c r="J95" s="261">
        <f>312.5+603</f>
        <v>915.5</v>
      </c>
      <c r="K95" s="261">
        <f>317.833333333333+667</f>
        <v>984.83333333333303</v>
      </c>
      <c r="M95" s="237">
        <f t="shared" ref="M95:M101" si="17">IFERROR(G95/G$198,0)</f>
        <v>2.5064102564102564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'[15]Sch C'!D94</f>
        <v>0</v>
      </c>
      <c r="D96" s="273">
        <f>'[15]Sch C'!F94</f>
        <v>688</v>
      </c>
      <c r="E96" s="259">
        <f t="shared" si="14"/>
        <v>688</v>
      </c>
      <c r="F96" s="183">
        <v>780</v>
      </c>
      <c r="G96" s="183">
        <f t="shared" si="15"/>
        <v>1468</v>
      </c>
      <c r="H96" s="181">
        <f t="shared" si="16"/>
        <v>1.4974783555978001E-3</v>
      </c>
      <c r="J96" s="136"/>
      <c r="K96" s="136"/>
      <c r="M96" s="237">
        <f t="shared" si="17"/>
        <v>0.26139601139601137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'[15]Sch C'!D95</f>
        <v>1000</v>
      </c>
      <c r="D97" s="273">
        <f>'[15]Sch C'!F95</f>
        <v>0</v>
      </c>
      <c r="E97" s="259">
        <f t="shared" si="14"/>
        <v>1000</v>
      </c>
      <c r="F97" s="183">
        <v>1600</v>
      </c>
      <c r="G97" s="183">
        <f t="shared" si="15"/>
        <v>2600</v>
      </c>
      <c r="H97" s="181">
        <f t="shared" si="16"/>
        <v>2.6522096216309811E-3</v>
      </c>
      <c r="J97" s="136"/>
      <c r="K97" s="136"/>
      <c r="M97" s="237">
        <f t="shared" si="17"/>
        <v>0.46296296296296297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'[15]Sch C'!D96</f>
        <v>17179</v>
      </c>
      <c r="D98" s="273">
        <f>'[15]Sch C'!F96</f>
        <v>0</v>
      </c>
      <c r="E98" s="259">
        <f t="shared" si="14"/>
        <v>17179</v>
      </c>
      <c r="F98" s="183">
        <v>30730</v>
      </c>
      <c r="G98" s="183">
        <f t="shared" si="15"/>
        <v>47909</v>
      </c>
      <c r="H98" s="181">
        <f t="shared" si="16"/>
        <v>4.8871042601045647E-2</v>
      </c>
      <c r="J98" s="136"/>
      <c r="K98" s="136"/>
      <c r="M98" s="237">
        <f t="shared" si="17"/>
        <v>8.5308048433048427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'[15]Sch C'!D97</f>
        <v>1553</v>
      </c>
      <c r="D99" s="273">
        <f>'[15]Sch C'!F97</f>
        <v>0</v>
      </c>
      <c r="E99" s="259">
        <f t="shared" si="14"/>
        <v>1553</v>
      </c>
      <c r="F99" s="183">
        <v>3874</v>
      </c>
      <c r="G99" s="183">
        <f t="shared" si="15"/>
        <v>5427</v>
      </c>
      <c r="H99" s="181">
        <f t="shared" si="16"/>
        <v>5.5359775448428211E-3</v>
      </c>
      <c r="J99" s="136"/>
      <c r="K99" s="136"/>
      <c r="M99" s="237">
        <f t="shared" si="17"/>
        <v>0.96634615384615385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'[15]Sch C'!D98</f>
        <v>0</v>
      </c>
      <c r="D100" s="273">
        <f>'[15]Sch C'!F98</f>
        <v>0</v>
      </c>
      <c r="E100" s="259">
        <f t="shared" si="14"/>
        <v>0</v>
      </c>
      <c r="F100" s="183">
        <v>0</v>
      </c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26379</v>
      </c>
      <c r="D101" s="273">
        <f>SUM(D95:D100)</f>
        <v>688</v>
      </c>
      <c r="E101" s="183">
        <f>SUM(E95:E100)</f>
        <v>27067</v>
      </c>
      <c r="F101" s="183">
        <f>SUM(F95:F100)</f>
        <v>44413</v>
      </c>
      <c r="G101" s="183">
        <f t="shared" si="15"/>
        <v>71480</v>
      </c>
      <c r="H101" s="181">
        <f t="shared" si="16"/>
        <v>7.2915362982377899E-2</v>
      </c>
      <c r="J101" s="136"/>
      <c r="K101" s="136"/>
      <c r="M101" s="237">
        <f t="shared" si="17"/>
        <v>12.727920227920228</v>
      </c>
      <c r="N101" s="243">
        <f>SUMMARY!M101</f>
        <v>14.116295917008408</v>
      </c>
      <c r="O101" s="238">
        <f>M101/N101-1</f>
        <v>-9.8352690907772544E-2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'[15]Sch C'!D102</f>
        <v>0</v>
      </c>
      <c r="D104" s="273">
        <f>'[15]Sch C'!F102</f>
        <v>0</v>
      </c>
      <c r="E104" s="259">
        <f t="shared" ref="E104:E109" si="18">SUM(C104:D104)</f>
        <v>0</v>
      </c>
      <c r="F104" s="180">
        <v>0</v>
      </c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'[15]Sch C'!D103</f>
        <v>0</v>
      </c>
      <c r="D105" s="273">
        <f>'[15]Sch C'!F103</f>
        <v>0</v>
      </c>
      <c r="E105" s="259">
        <f t="shared" si="18"/>
        <v>0</v>
      </c>
      <c r="F105" s="183">
        <v>6</v>
      </c>
      <c r="G105" s="183">
        <f t="shared" si="19"/>
        <v>6</v>
      </c>
      <c r="H105" s="181">
        <f t="shared" si="20"/>
        <v>6.120483742225341E-6</v>
      </c>
      <c r="J105" s="136"/>
      <c r="K105" s="136"/>
      <c r="M105" s="237">
        <f t="shared" si="21"/>
        <v>1.0683760683760685E-3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'[15]Sch C'!D104</f>
        <v>0</v>
      </c>
      <c r="D106" s="273">
        <f>'[15]Sch C'!F104</f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'[15]Sch C'!D105</f>
        <v>0</v>
      </c>
      <c r="D107" s="273">
        <f>'[15]Sch C'!F105</f>
        <v>0</v>
      </c>
      <c r="E107" s="259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'[15]Sch C'!D106</f>
        <v>1543</v>
      </c>
      <c r="D108" s="273">
        <f>'[15]Sch C'!F106</f>
        <v>0</v>
      </c>
      <c r="E108" s="259">
        <f t="shared" si="18"/>
        <v>1543</v>
      </c>
      <c r="F108" s="183">
        <v>988</v>
      </c>
      <c r="G108" s="183">
        <f t="shared" si="19"/>
        <v>2531</v>
      </c>
      <c r="H108" s="181">
        <f t="shared" si="20"/>
        <v>2.5818240585953897E-3</v>
      </c>
      <c r="J108" s="136"/>
      <c r="K108" s="136"/>
      <c r="M108" s="237">
        <f t="shared" si="21"/>
        <v>0.45067663817663817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'[15]Sch C'!D107</f>
        <v>0</v>
      </c>
      <c r="D109" s="273">
        <f>'[15]Sch C'!F107</f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1543</v>
      </c>
      <c r="D110" s="273">
        <f>SUM(D104:D109)</f>
        <v>0</v>
      </c>
      <c r="E110" s="183">
        <f>SUM(E104:E109)</f>
        <v>1543</v>
      </c>
      <c r="F110" s="183">
        <f>SUM(F104:F109)</f>
        <v>994</v>
      </c>
      <c r="G110" s="183">
        <f t="shared" si="19"/>
        <v>2537</v>
      </c>
      <c r="H110" s="181">
        <f t="shared" si="20"/>
        <v>2.5879445423376149E-3</v>
      </c>
      <c r="J110" s="136"/>
      <c r="K110" s="136"/>
      <c r="M110" s="237">
        <f t="shared" si="21"/>
        <v>0.45174501424501423</v>
      </c>
      <c r="N110" s="243">
        <f>SUMMARY!M110</f>
        <v>2.6822243142585545</v>
      </c>
      <c r="O110" s="238">
        <f>M110/N110-1</f>
        <v>-0.83157821221604655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'[15]Sch C'!D121</f>
        <v>0</v>
      </c>
      <c r="D113" s="273">
        <f>'[15]Sch C'!F121</f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'[15]Sch C'!D122</f>
        <v>0</v>
      </c>
      <c r="D114" s="273">
        <f>'[15]Sch C'!F122</f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'[15]Sch C'!D123</f>
        <v>1119</v>
      </c>
      <c r="D115" s="273">
        <f>'[15]Sch C'!F123</f>
        <v>0</v>
      </c>
      <c r="E115" s="259">
        <f t="shared" si="22"/>
        <v>1119</v>
      </c>
      <c r="F115" s="183">
        <v>0</v>
      </c>
      <c r="G115" s="183">
        <f t="shared" si="23"/>
        <v>1119</v>
      </c>
      <c r="H115" s="181">
        <f t="shared" si="24"/>
        <v>1.1414702179250262E-3</v>
      </c>
      <c r="J115" s="136"/>
      <c r="K115" s="136"/>
      <c r="M115" s="237">
        <f t="shared" si="25"/>
        <v>0.19925213675213677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'[15]Sch C'!D124</f>
        <v>0</v>
      </c>
      <c r="D116" s="273">
        <f>'[15]Sch C'!F124</f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'[15]Sch C'!D125</f>
        <v>0</v>
      </c>
      <c r="D117" s="273">
        <f>'[15]Sch C'!F125</f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1119</v>
      </c>
      <c r="D118" s="273">
        <f>SUM(D113:D117)</f>
        <v>0</v>
      </c>
      <c r="E118" s="183">
        <f>SUM(E113:E117)</f>
        <v>1119</v>
      </c>
      <c r="F118" s="183">
        <f>SUM(F113:F117)</f>
        <v>0</v>
      </c>
      <c r="G118" s="183">
        <f t="shared" si="23"/>
        <v>1119</v>
      </c>
      <c r="H118" s="181">
        <f t="shared" si="24"/>
        <v>1.1414702179250262E-3</v>
      </c>
      <c r="J118" s="136"/>
      <c r="K118" s="136"/>
      <c r="M118" s="237">
        <f t="shared" si="25"/>
        <v>0.19925213675213677</v>
      </c>
      <c r="N118" s="243">
        <f>SUMMARY!M118</f>
        <v>3.1676887539780583</v>
      </c>
      <c r="O118" s="238">
        <f>M118/N118-1</f>
        <v>-0.93709857494619342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'[15]Sch C'!D129</f>
        <v>8160</v>
      </c>
      <c r="D121" s="273">
        <f>'[15]Sch C'!F129</f>
        <v>0</v>
      </c>
      <c r="E121" s="259">
        <f t="shared" ref="E121:E131" si="26">SUM(C121:D121)</f>
        <v>8160</v>
      </c>
      <c r="F121" s="180">
        <v>17082</v>
      </c>
      <c r="G121" s="180">
        <f>IF(ISERROR(E121+F121),"",(E121+F121))</f>
        <v>25242</v>
      </c>
      <c r="H121" s="181">
        <f>IF(ISERROR(G121/$G$183),"",(G121/$G$183))</f>
        <v>2.5748875103542009E-2</v>
      </c>
      <c r="J121" s="261">
        <f>340+632</f>
        <v>972</v>
      </c>
      <c r="K121" s="261">
        <f>360+680</f>
        <v>1040</v>
      </c>
      <c r="M121" s="237">
        <f t="shared" ref="M121:M131" si="27">IFERROR(G121/G$198,0)</f>
        <v>4.4946581196581192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'[15]Sch C'!D130</f>
        <v>0</v>
      </c>
      <c r="D122" s="273">
        <f>'[15]Sch C'!F130</f>
        <v>844</v>
      </c>
      <c r="E122" s="259">
        <f t="shared" si="26"/>
        <v>844</v>
      </c>
      <c r="F122" s="180">
        <v>1741</v>
      </c>
      <c r="G122" s="180">
        <f t="shared" ref="G122:G131" si="28">IF(ISERROR(E122+F122),"",(E122+F122))</f>
        <v>2585</v>
      </c>
      <c r="H122" s="181">
        <f t="shared" ref="H122:H131" si="29">IF(ISERROR(G122/$G$183),"",(G122/$G$183))</f>
        <v>2.6369084122754177E-3</v>
      </c>
      <c r="J122" s="136"/>
      <c r="K122" s="136"/>
      <c r="M122" s="237">
        <f t="shared" si="27"/>
        <v>0.4602920227920228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'[15]Sch C'!D131</f>
        <v>12</v>
      </c>
      <c r="D123" s="273">
        <f>'[15]Sch C'!F131</f>
        <v>0</v>
      </c>
      <c r="E123" s="259">
        <f t="shared" si="26"/>
        <v>12</v>
      </c>
      <c r="F123" s="180">
        <v>0</v>
      </c>
      <c r="G123" s="180">
        <f t="shared" si="28"/>
        <v>12</v>
      </c>
      <c r="H123" s="181">
        <f t="shared" si="29"/>
        <v>1.2240967484450682E-5</v>
      </c>
      <c r="J123" s="261">
        <v>0</v>
      </c>
      <c r="K123" s="261">
        <v>0</v>
      </c>
      <c r="M123" s="237">
        <f t="shared" si="27"/>
        <v>2.136752136752137E-3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'[15]Sch C'!D132</f>
        <v>0</v>
      </c>
      <c r="D124" s="273">
        <f>'[15]Sch C'!F132</f>
        <v>1</v>
      </c>
      <c r="E124" s="259">
        <f t="shared" si="26"/>
        <v>1</v>
      </c>
      <c r="F124" s="180">
        <v>0</v>
      </c>
      <c r="G124" s="180">
        <f t="shared" si="28"/>
        <v>1</v>
      </c>
      <c r="H124" s="181">
        <f t="shared" si="29"/>
        <v>1.0200806237042235E-6</v>
      </c>
      <c r="J124" s="136"/>
      <c r="K124" s="136"/>
      <c r="M124" s="237">
        <f t="shared" si="27"/>
        <v>1.7806267806267807E-4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'[15]Sch C'!D133</f>
        <v>0</v>
      </c>
      <c r="D125" s="273">
        <f>'[15]Sch C'!F133</f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'[15]Sch C'!D134</f>
        <v>1541</v>
      </c>
      <c r="D126" s="273">
        <f>'[15]Sch C'!F134</f>
        <v>0</v>
      </c>
      <c r="E126" s="259">
        <f t="shared" si="26"/>
        <v>1541</v>
      </c>
      <c r="F126" s="180">
        <v>4817</v>
      </c>
      <c r="G126" s="180">
        <f t="shared" si="28"/>
        <v>6358</v>
      </c>
      <c r="H126" s="181">
        <f t="shared" si="29"/>
        <v>6.4856726055114531E-3</v>
      </c>
      <c r="J126" s="136"/>
      <c r="K126" s="136"/>
      <c r="M126" s="237">
        <f t="shared" si="27"/>
        <v>1.1321225071225072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'[15]Sch C'!D135</f>
        <v>0</v>
      </c>
      <c r="D127" s="273">
        <f>'[15]Sch C'!F135</f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'[15]Sch C'!D136</f>
        <v>0</v>
      </c>
      <c r="D128" s="273">
        <f>'[15]Sch C'!F136</f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'[15]Sch C'!D137</f>
        <v>1475</v>
      </c>
      <c r="D129" s="273">
        <f>'[15]Sch C'!F137</f>
        <v>0</v>
      </c>
      <c r="E129" s="259">
        <f t="shared" si="26"/>
        <v>1475</v>
      </c>
      <c r="F129" s="180">
        <v>4427</v>
      </c>
      <c r="G129" s="180">
        <f t="shared" si="28"/>
        <v>5902</v>
      </c>
      <c r="H129" s="181">
        <f t="shared" si="29"/>
        <v>6.0205158411023273E-3</v>
      </c>
      <c r="J129" s="136"/>
      <c r="K129" s="136"/>
      <c r="M129" s="237">
        <f t="shared" si="27"/>
        <v>1.0509259259259258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'[15]Sch C'!D138</f>
        <v>0</v>
      </c>
      <c r="D130" s="273">
        <f>'[15]Sch C'!F138</f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'[15]Sch C'!D139</f>
        <v>0</v>
      </c>
      <c r="D131" s="273">
        <f>'[15]Sch C'!F139</f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'[15]Sch C'!D141</f>
        <v>0</v>
      </c>
      <c r="D133" s="273">
        <f>'[15]Sch C'!F141</f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'[15]Sch C'!D142</f>
        <v>0</v>
      </c>
      <c r="D134" s="273">
        <f>'[15]Sch C'!F142</f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'[15]Sch C'!D143</f>
        <v>0</v>
      </c>
      <c r="D135" s="273">
        <f>'[15]Sch C'!F143</f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'[15]Sch C'!D144</f>
        <v>0</v>
      </c>
      <c r="D136" s="273">
        <f>'[15]Sch C'!F144</f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'[15]Sch C'!D145</f>
        <v>0</v>
      </c>
      <c r="D137" s="273">
        <f>'[15]Sch C'!F145</f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'[15]Sch C'!D146</f>
        <v>0</v>
      </c>
      <c r="D138" s="273">
        <f>'[15]Sch C'!F146</f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11188</v>
      </c>
      <c r="D139" s="273">
        <f>SUM(D121:D138)</f>
        <v>845</v>
      </c>
      <c r="E139" s="182">
        <f>SUM(E121:E138)</f>
        <v>12033</v>
      </c>
      <c r="F139" s="182">
        <f>SUM(F121:F138)</f>
        <v>28067</v>
      </c>
      <c r="G139" s="183">
        <f t="shared" si="33"/>
        <v>40100</v>
      </c>
      <c r="H139" s="181">
        <f t="shared" si="31"/>
        <v>4.0905233010539367E-2</v>
      </c>
      <c r="J139" s="136"/>
      <c r="K139" s="136"/>
      <c r="M139" s="237">
        <f t="shared" si="32"/>
        <v>7.1403133903133904</v>
      </c>
      <c r="N139" s="243">
        <f>SUMMARY!M139</f>
        <v>37.231450929246826</v>
      </c>
      <c r="O139" s="238">
        <f>M139/N139-1</f>
        <v>-0.80821823452750852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'[15]Sch C'!D150</f>
        <v>0</v>
      </c>
      <c r="D142" s="273">
        <f>'[15]Sch C'!F150</f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'[15]Sch C'!D151</f>
        <v>0</v>
      </c>
      <c r="D143" s="273">
        <f>'[15]Sch C'!F151</f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'[15]Sch C'!D152</f>
        <v>0</v>
      </c>
      <c r="D144" s="273">
        <f>'[15]Sch C'!F152</f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'[15]Sch C'!D153</f>
        <v>0</v>
      </c>
      <c r="D145" s="273">
        <f>'[15]Sch C'!F153</f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'[15]Sch C'!D154</f>
        <v>561</v>
      </c>
      <c r="D146" s="273">
        <f>'[15]Sch C'!F154</f>
        <v>0</v>
      </c>
      <c r="E146" s="259">
        <f t="shared" si="34"/>
        <v>561</v>
      </c>
      <c r="F146" s="183">
        <v>1287</v>
      </c>
      <c r="G146" s="183">
        <f t="shared" si="35"/>
        <v>1848</v>
      </c>
      <c r="H146" s="181">
        <f t="shared" si="36"/>
        <v>1.8851089926054051E-3</v>
      </c>
      <c r="J146" s="136"/>
      <c r="K146" s="136"/>
      <c r="M146" s="237">
        <f t="shared" si="37"/>
        <v>0.32905982905982906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561</v>
      </c>
      <c r="D147" s="273">
        <f>SUM(D142:D146)</f>
        <v>0</v>
      </c>
      <c r="E147" s="183">
        <f>SUM(E142:E146)</f>
        <v>561</v>
      </c>
      <c r="F147" s="183">
        <f>SUM(F142:F146)</f>
        <v>1287</v>
      </c>
      <c r="G147" s="183">
        <f t="shared" si="35"/>
        <v>1848</v>
      </c>
      <c r="H147" s="204">
        <f t="shared" si="36"/>
        <v>1.8851089926054051E-3</v>
      </c>
      <c r="J147" s="136"/>
      <c r="K147" s="136"/>
      <c r="M147" s="237">
        <f t="shared" si="37"/>
        <v>0.32905982905982906</v>
      </c>
      <c r="N147" s="243">
        <f>SUMMARY!M147</f>
        <v>3.5319826687546212</v>
      </c>
      <c r="O147" s="238">
        <f>M147/N147-1</f>
        <v>-0.90683424582718697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'[15]Sch C'!D158</f>
        <v>82607</v>
      </c>
      <c r="D150" s="273">
        <f>'[15]Sch C'!F158</f>
        <v>0</v>
      </c>
      <c r="E150" s="259">
        <f t="shared" ref="E150:E163" si="38">SUM(C150:D150)</f>
        <v>82607</v>
      </c>
      <c r="F150" s="183">
        <v>169236</v>
      </c>
      <c r="G150" s="183">
        <f>IF(ISERROR(E150+F150),"",(E150+F150))</f>
        <v>251843</v>
      </c>
      <c r="H150" s="181">
        <f>IF(ISERROR(G150/$G$183),"",(G150/$G$183))</f>
        <v>0.25690016451554276</v>
      </c>
      <c r="J150" s="261">
        <f>6941+25117</f>
        <v>32058</v>
      </c>
      <c r="K150" s="261">
        <f>7231+26354</f>
        <v>33585</v>
      </c>
      <c r="M150" s="237">
        <f t="shared" ref="M150:M164" si="39">IFERROR(G150/G$198,0)</f>
        <v>44.84383903133903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'[15]Sch C'!D159</f>
        <v>0</v>
      </c>
      <c r="D151" s="273">
        <f>'[15]Sch C'!F159</f>
        <v>8548</v>
      </c>
      <c r="E151" s="259">
        <f t="shared" si="38"/>
        <v>8548</v>
      </c>
      <c r="F151" s="183">
        <v>16001</v>
      </c>
      <c r="G151" s="183">
        <f>IF(ISERROR(E151+F151),"",(E151+F151))</f>
        <v>24549</v>
      </c>
      <c r="H151" s="181">
        <f>IF(ISERROR(G151/$G$183),"",(G151/$G$183))</f>
        <v>2.5041959231314984E-2</v>
      </c>
      <c r="J151" s="136"/>
      <c r="K151" s="136"/>
      <c r="M151" s="237">
        <f t="shared" si="39"/>
        <v>4.371260683760684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'[15]Sch C'!D160</f>
        <v>0</v>
      </c>
      <c r="D152" s="273">
        <f>'[15]Sch C'!F160</f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'[15]Sch C'!D161</f>
        <v>0</v>
      </c>
      <c r="D153" s="273">
        <f>'[15]Sch C'!F161</f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'[15]Sch C'!D162</f>
        <v>300</v>
      </c>
      <c r="D154" s="273">
        <f>'[15]Sch C'!F162</f>
        <v>0</v>
      </c>
      <c r="E154" s="259">
        <f t="shared" si="38"/>
        <v>300</v>
      </c>
      <c r="F154" s="183">
        <v>238</v>
      </c>
      <c r="G154" s="183">
        <f t="shared" si="40"/>
        <v>538</v>
      </c>
      <c r="H154" s="181">
        <f t="shared" si="41"/>
        <v>5.4880337555287227E-4</v>
      </c>
      <c r="J154" s="206"/>
      <c r="K154" s="206"/>
      <c r="M154" s="237">
        <f t="shared" si="39"/>
        <v>9.5797720797720795E-2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'[15]Sch C'!D163</f>
        <v>300</v>
      </c>
      <c r="D155" s="273">
        <f>'[15]Sch C'!F163</f>
        <v>0</v>
      </c>
      <c r="E155" s="259">
        <f t="shared" si="38"/>
        <v>300</v>
      </c>
      <c r="F155" s="183">
        <v>0</v>
      </c>
      <c r="G155" s="183">
        <f t="shared" si="40"/>
        <v>300</v>
      </c>
      <c r="H155" s="181">
        <f t="shared" si="41"/>
        <v>3.0602418711126708E-4</v>
      </c>
      <c r="J155" s="206"/>
      <c r="K155" s="206"/>
      <c r="M155" s="237">
        <f t="shared" si="39"/>
        <v>5.3418803418803416E-2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'[15]Sch C'!D164</f>
        <v>0</v>
      </c>
      <c r="D156" s="273">
        <f>'[15]Sch C'!F164</f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'[15]Sch C'!D165</f>
        <v>300</v>
      </c>
      <c r="D157" s="273">
        <f>'[15]Sch C'!F165</f>
        <v>0</v>
      </c>
      <c r="E157" s="259">
        <f t="shared" si="38"/>
        <v>300</v>
      </c>
      <c r="F157" s="183">
        <v>0</v>
      </c>
      <c r="G157" s="183">
        <f t="shared" si="40"/>
        <v>300</v>
      </c>
      <c r="H157" s="181">
        <f t="shared" si="41"/>
        <v>3.0602418711126708E-4</v>
      </c>
      <c r="J157" s="206"/>
      <c r="K157" s="206"/>
      <c r="M157" s="237">
        <f t="shared" si="39"/>
        <v>5.3418803418803416E-2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'[15]Sch C'!D166</f>
        <v>788</v>
      </c>
      <c r="D158" s="273">
        <f>'[15]Sch C'!F166</f>
        <v>0</v>
      </c>
      <c r="E158" s="259">
        <f t="shared" si="38"/>
        <v>788</v>
      </c>
      <c r="F158" s="183">
        <v>0</v>
      </c>
      <c r="G158" s="183">
        <f t="shared" si="40"/>
        <v>788</v>
      </c>
      <c r="H158" s="181">
        <f t="shared" si="41"/>
        <v>8.038235314789282E-4</v>
      </c>
      <c r="J158" s="206"/>
      <c r="K158" s="206"/>
      <c r="M158" s="237">
        <f t="shared" si="39"/>
        <v>0.14031339031339032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'[15]Sch C'!D167</f>
        <v>0</v>
      </c>
      <c r="D159" s="273">
        <f>'[15]Sch C'!F167</f>
        <v>0</v>
      </c>
      <c r="E159" s="259">
        <f t="shared" si="38"/>
        <v>0</v>
      </c>
      <c r="F159" s="183">
        <v>0</v>
      </c>
      <c r="G159" s="183">
        <f t="shared" si="40"/>
        <v>0</v>
      </c>
      <c r="H159" s="181">
        <f t="shared" si="41"/>
        <v>0</v>
      </c>
      <c r="J159" s="206"/>
      <c r="K159" s="206"/>
      <c r="M159" s="237">
        <f t="shared" si="39"/>
        <v>0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'[15]Sch C'!D168</f>
        <v>62252</v>
      </c>
      <c r="D160" s="273">
        <f>'[15]Sch C'!F168</f>
        <v>0</v>
      </c>
      <c r="E160" s="259">
        <f t="shared" si="38"/>
        <v>62252</v>
      </c>
      <c r="F160" s="183">
        <v>93386</v>
      </c>
      <c r="G160" s="183">
        <f t="shared" si="40"/>
        <v>155638</v>
      </c>
      <c r="H160" s="181">
        <f t="shared" si="41"/>
        <v>0.15876330811207795</v>
      </c>
      <c r="J160" s="136"/>
      <c r="K160" s="136"/>
      <c r="M160" s="237">
        <f t="shared" si="39"/>
        <v>27.713319088319089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'[15]Sch C'!D169</f>
        <v>0</v>
      </c>
      <c r="D161" s="273">
        <f>'[15]Sch C'!F169</f>
        <v>0</v>
      </c>
      <c r="E161" s="259">
        <f t="shared" si="38"/>
        <v>0</v>
      </c>
      <c r="F161" s="183">
        <v>0</v>
      </c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'[15]Sch C'!D170</f>
        <v>593</v>
      </c>
      <c r="D162" s="273">
        <f>'[15]Sch C'!F170</f>
        <v>0</v>
      </c>
      <c r="E162" s="259">
        <f t="shared" si="38"/>
        <v>593</v>
      </c>
      <c r="F162" s="183">
        <v>363</v>
      </c>
      <c r="G162" s="183">
        <f t="shared" si="40"/>
        <v>956</v>
      </c>
      <c r="H162" s="181">
        <f t="shared" si="41"/>
        <v>9.7519707626123769E-4</v>
      </c>
      <c r="J162" s="136"/>
      <c r="K162" s="136"/>
      <c r="M162" s="237">
        <f t="shared" si="39"/>
        <v>0.17022792022792022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'[15]Sch C'!D171</f>
        <v>0</v>
      </c>
      <c r="D163" s="273">
        <f>'[15]Sch C'!F171</f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147140</v>
      </c>
      <c r="D164" s="273">
        <f>SUM(D150:D163)</f>
        <v>8548</v>
      </c>
      <c r="E164" s="183">
        <f>SUM(E150:E163)</f>
        <v>155688</v>
      </c>
      <c r="F164" s="183">
        <f>SUM(F150:F163)</f>
        <v>279224</v>
      </c>
      <c r="G164" s="183">
        <f>IF(ISERROR(E164+F164),"",(E164+F164))</f>
        <v>434912</v>
      </c>
      <c r="H164" s="181">
        <f>IF(ISERROR(G164/$G$183),"",(G164/$G$183))</f>
        <v>0.44364530421645126</v>
      </c>
      <c r="J164" s="136"/>
      <c r="K164" s="136"/>
      <c r="M164" s="237">
        <f t="shared" si="39"/>
        <v>77.441595441595439</v>
      </c>
      <c r="N164" s="243">
        <f>SUMMARY!M164</f>
        <v>48.166333206280392</v>
      </c>
      <c r="O164" s="238">
        <f>M164/N164-1</f>
        <v>0.60779511925765317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'[15]Sch C'!D186</f>
        <v>0</v>
      </c>
      <c r="D167" s="273">
        <f>'[15]Sch C'!F186</f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'[15]Sch C'!D187</f>
        <v>0</v>
      </c>
      <c r="D168" s="273">
        <f>'[15]Sch C'!F187</f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'[15]Sch C'!D188</f>
        <v>0</v>
      </c>
      <c r="D169" s="273">
        <f>'[15]Sch C'!F188</f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'[15]Sch C'!D189</f>
        <v>400</v>
      </c>
      <c r="D170" s="273">
        <f>'[15]Sch C'!F189</f>
        <v>0</v>
      </c>
      <c r="E170" s="259">
        <f t="shared" si="42"/>
        <v>400</v>
      </c>
      <c r="F170" s="183">
        <v>600</v>
      </c>
      <c r="G170" s="183">
        <f>IF(ISERROR(E170+F170),"",(E170+F170))</f>
        <v>1000</v>
      </c>
      <c r="H170" s="181">
        <f>IF(ISERROR(G170/$G$183),"",(G170/$G$183))</f>
        <v>1.0200806237042235E-3</v>
      </c>
      <c r="I170" s="215"/>
      <c r="J170" s="211"/>
      <c r="K170" s="42"/>
      <c r="M170" s="237">
        <f t="shared" si="43"/>
        <v>0.17806267806267806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'[15]Sch C'!D190</f>
        <v>0</v>
      </c>
      <c r="D171" s="273">
        <f>'[15]Sch C'!F190</f>
        <v>0</v>
      </c>
      <c r="E171" s="259">
        <f t="shared" si="42"/>
        <v>0</v>
      </c>
      <c r="F171" s="183">
        <v>0</v>
      </c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'[15]Sch C'!D191</f>
        <v>1339</v>
      </c>
      <c r="D172" s="273">
        <f>'[15]Sch C'!F191</f>
        <v>0</v>
      </c>
      <c r="E172" s="259">
        <f t="shared" si="42"/>
        <v>1339</v>
      </c>
      <c r="F172" s="183">
        <v>1240</v>
      </c>
      <c r="G172" s="183">
        <f t="shared" ref="G172:G181" si="44">IF(ISERROR(E172+F172),"",(E172+F172))</f>
        <v>2579</v>
      </c>
      <c r="H172" s="181">
        <f t="shared" ref="H172:H180" si="45">IF(ISERROR(G172/$G$183),"",(G172/$G$183))</f>
        <v>2.6307879285331925E-3</v>
      </c>
      <c r="I172" s="215"/>
      <c r="J172" s="211"/>
      <c r="K172" s="42"/>
      <c r="M172" s="237">
        <f t="shared" si="43"/>
        <v>0.45922364672364674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'[15]Sch C'!D192</f>
        <v>0</v>
      </c>
      <c r="D173" s="273">
        <f>'[15]Sch C'!F192</f>
        <v>0</v>
      </c>
      <c r="E173" s="259">
        <f t="shared" si="42"/>
        <v>0</v>
      </c>
      <c r="F173" s="183">
        <v>0</v>
      </c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'[15]Sch C'!D193</f>
        <v>0</v>
      </c>
      <c r="D174" s="273">
        <f>'[15]Sch C'!F193</f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'[15]Sch C'!D194</f>
        <v>0</v>
      </c>
      <c r="D175" s="273">
        <f>'[15]Sch C'!F194</f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'[15]Sch C'!D195</f>
        <v>0</v>
      </c>
      <c r="D176" s="273">
        <f>'[15]Sch C'!F195</f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'[15]Sch C'!D196</f>
        <v>0</v>
      </c>
      <c r="D177" s="273">
        <f>'[15]Sch C'!F196</f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'[15]Sch C'!D197</f>
        <v>0</v>
      </c>
      <c r="D178" s="273">
        <f>'[15]Sch C'!F197</f>
        <v>0</v>
      </c>
      <c r="E178" s="259">
        <f t="shared" si="42"/>
        <v>0</v>
      </c>
      <c r="F178" s="183">
        <v>0</v>
      </c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'[15]Sch C'!D198</f>
        <v>0</v>
      </c>
      <c r="D179" s="273">
        <f>'[15]Sch C'!F198</f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'[15]Sch C'!D199</f>
        <v>0</v>
      </c>
      <c r="D180" s="273">
        <f>'[15]Sch C'!F199</f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1739</v>
      </c>
      <c r="D181" s="273">
        <f>SUM(D167:D180)</f>
        <v>0</v>
      </c>
      <c r="E181" s="218">
        <f>SUM(E167:E180)</f>
        <v>1739</v>
      </c>
      <c r="F181" s="218">
        <f>SUM(F167:F180)</f>
        <v>1840</v>
      </c>
      <c r="G181" s="183">
        <f t="shared" si="44"/>
        <v>3579</v>
      </c>
      <c r="H181" s="181">
        <f>IF(ISERROR(G181/$G$183),"",(G181/$G$183))</f>
        <v>3.6508685522374162E-3</v>
      </c>
      <c r="I181" s="219"/>
      <c r="J181" s="211"/>
      <c r="K181" s="211"/>
      <c r="M181" s="237">
        <f t="shared" si="43"/>
        <v>0.63728632478632474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354381</v>
      </c>
      <c r="D183" s="273">
        <f>SUM(D21:D181)/2</f>
        <v>-1100.33</v>
      </c>
      <c r="E183" s="258">
        <f>SUM(E21:E181)/2</f>
        <v>353280.67</v>
      </c>
      <c r="F183" s="179">
        <f>SUM(F21:F181)/2</f>
        <v>627034</v>
      </c>
      <c r="G183" s="179">
        <f>SUM(G21:G181)/2</f>
        <v>980314.66999999993</v>
      </c>
      <c r="H183" s="181">
        <f>IF(ISERROR(G183/$G$183),"",(G183/$G$183))</f>
        <v>1</v>
      </c>
      <c r="J183" s="261">
        <f>SUM(J21:J181)</f>
        <v>36082.833333333336</v>
      </c>
      <c r="K183" s="261">
        <f>SUM(K21:K181)</f>
        <v>37969.833333333336</v>
      </c>
      <c r="M183" s="237">
        <f>IFERROR(G183/G$198,0)</f>
        <v>174.55745548433046</v>
      </c>
      <c r="N183" s="243">
        <f>SUMMARY!M183</f>
        <v>169.52310231129192</v>
      </c>
      <c r="P183" s="178">
        <f>SUM(P57:P181)</f>
        <v>5.6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'[15]Sch C'!D204</f>
        <v>354381</v>
      </c>
      <c r="D186" s="28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5" t="s">
        <v>399</v>
      </c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285" t="s">
        <v>391</v>
      </c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-18355</v>
      </c>
      <c r="D190" s="273">
        <f>D17-D183</f>
        <v>2442.06</v>
      </c>
      <c r="E190" s="259">
        <f>E17-E183</f>
        <v>-15912.940000000002</v>
      </c>
      <c r="F190" s="180">
        <f>F17-F183</f>
        <v>43572</v>
      </c>
      <c r="G190" s="180">
        <f>G17-G183</f>
        <v>27659.060000000056</v>
      </c>
      <c r="J190" s="136"/>
      <c r="K190" s="136"/>
      <c r="M190" s="237">
        <f>IFERROR(G190/G$198,0)</f>
        <v>4.9250462962963066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'[15]Sch D'!C9</f>
        <v>1888</v>
      </c>
      <c r="D194" s="313"/>
      <c r="E194" s="264">
        <f>C194+D194</f>
        <v>1888</v>
      </c>
      <c r="F194" s="224">
        <v>3728</v>
      </c>
      <c r="G194" s="225">
        <f>E194+F194</f>
        <v>5616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'[15]Sch D'!D9</f>
        <v>0</v>
      </c>
      <c r="D195" s="313"/>
      <c r="E195" s="227">
        <f>C195+D195</f>
        <v>0</v>
      </c>
      <c r="F195" s="226">
        <v>0</v>
      </c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'[15]Sch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'[15]Sch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1888</v>
      </c>
      <c r="D198" s="313"/>
      <c r="E198" s="265">
        <f>SUM(E194:E197)</f>
        <v>1888</v>
      </c>
      <c r="F198" s="229">
        <f>SUM(F194:F197)</f>
        <v>3728</v>
      </c>
      <c r="G198" s="229">
        <f>SUM(G194:G197)</f>
        <v>5616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'[15]Sch D'!G22</f>
        <v>16</v>
      </c>
      <c r="D201" s="312"/>
      <c r="E201" s="264">
        <f>C201+D201</f>
        <v>16</v>
      </c>
      <c r="F201" s="224"/>
      <c r="G201" s="231">
        <f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'[15]Sch D'!G24</f>
        <v>16</v>
      </c>
      <c r="D202" s="312"/>
      <c r="E202" s="264">
        <f>C202+D202</f>
        <v>16</v>
      </c>
      <c r="F202" s="226"/>
      <c r="G202" s="231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'[15]Sch D'!G28</f>
        <v>1968</v>
      </c>
      <c r="D205" s="283"/>
      <c r="E205" s="260">
        <f>E201*E203</f>
        <v>1968</v>
      </c>
      <c r="F205" s="260">
        <f>G201*F203</f>
        <v>3888</v>
      </c>
      <c r="G205" s="224">
        <f>G201*G203</f>
        <v>5856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'[15]Sch D'!G30</f>
        <v>0.95934959349593496</v>
      </c>
      <c r="D206" s="36"/>
      <c r="E206" s="266">
        <f>IFERROR(E198/E205,"0")</f>
        <v>0.95934959349593496</v>
      </c>
      <c r="F206" s="337">
        <f>IFERROR(F198/F205,"")</f>
        <v>0.95884773662551437</v>
      </c>
      <c r="G206" s="233">
        <f>G198/G205</f>
        <v>0.95901639344262291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'[15]Sch D'!G32</f>
        <v>0.95934959349593496</v>
      </c>
      <c r="D207" s="36"/>
      <c r="E207" s="266">
        <f>IFERROR((E194+E195)/E205,"0")</f>
        <v>0.95934959349593496</v>
      </c>
      <c r="F207" s="337">
        <f>IFERROR(((F194+F195)/F205),"")</f>
        <v>0.95884773662551437</v>
      </c>
      <c r="G207" s="233">
        <f>(G194+G195)/G205</f>
        <v>0.95901639344262291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'[15]Sch D'!G34</f>
        <v>1</v>
      </c>
      <c r="D208" s="36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310"/>
      <c r="D209" s="310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5" priority="2" stopIfTrue="1" operator="equal">
      <formula>0</formula>
    </cfRule>
  </conditionalFormatting>
  <conditionalFormatting sqref="C2">
    <cfRule type="cellIs" dxfId="4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3" manualBreakCount="3">
    <brk id="42" min="1" max="25" man="1"/>
    <brk id="123" min="1" max="25" man="1"/>
    <brk id="181" min="1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FFFF00"/>
    <pageSetUpPr fitToPage="1"/>
  </sheetPr>
  <dimension ref="A1:P213"/>
  <sheetViews>
    <sheetView showGridLines="0" topLeftCell="A190" zoomScale="87" zoomScaleNormal="87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64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2" width="11.69921875" style="52"/>
    <col min="13" max="13" width="15" style="52" customWidth="1"/>
    <col min="14" max="14" width="16" style="52" customWidth="1"/>
    <col min="15" max="15" width="19" style="52" customWidth="1"/>
    <col min="16" max="16" width="23.09765625" style="52" customWidth="1"/>
    <col min="17" max="16384" width="11.69921875" style="52"/>
  </cols>
  <sheetData>
    <row r="1" spans="1:16" ht="22.5">
      <c r="A1" s="163" t="str">
        <f>BUNGALOW!A2</f>
        <v>Schedules revised 7/10/16</v>
      </c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366</v>
      </c>
      <c r="D2" s="236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'[16]Sch B'!E10</f>
        <v>5241835</v>
      </c>
      <c r="D12" s="273">
        <f>'[16]Sch B'!G10</f>
        <v>3199</v>
      </c>
      <c r="E12" s="259">
        <f>SUM(C12:D12)</f>
        <v>5245034</v>
      </c>
      <c r="F12" s="180"/>
      <c r="G12" s="180">
        <f>IF(ISERROR(E12+F12)," ",(E12+F12))</f>
        <v>5245034</v>
      </c>
      <c r="H12" s="181">
        <f t="shared" ref="H12:H17" si="0">IF(ISERROR(G12/$G$17),"",(G12/$G$17))</f>
        <v>0.99888951629874312</v>
      </c>
      <c r="J12" s="246" t="s">
        <v>346</v>
      </c>
      <c r="K12" s="247">
        <f>G17</f>
        <v>5250865</v>
      </c>
      <c r="M12" s="237">
        <f>IFERROR(G12/G$194,0)</f>
        <v>176.76116334715061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'[16]Sch B'!E15</f>
        <v>0</v>
      </c>
      <c r="D13" s="273">
        <f>'[16]Sch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4756483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'[16]Sch B'!E20</f>
        <v>0</v>
      </c>
      <c r="D14" s="273">
        <f>'[16]Sch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29706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'[16]Sch B'!E25</f>
        <v>5831</v>
      </c>
      <c r="D15" s="273">
        <f>'[16]Sch B'!G25</f>
        <v>0</v>
      </c>
      <c r="E15" s="259">
        <f t="shared" si="1"/>
        <v>5831</v>
      </c>
      <c r="F15" s="183"/>
      <c r="G15" s="183">
        <f>IF(ISERROR(E15+F15),"",(E15+F15))</f>
        <v>5831</v>
      </c>
      <c r="H15" s="184">
        <f t="shared" si="0"/>
        <v>1.1104837012568406E-3</v>
      </c>
      <c r="J15" s="248" t="s">
        <v>349</v>
      </c>
      <c r="K15" s="249">
        <f>G201</f>
        <v>83</v>
      </c>
      <c r="M15" s="237">
        <f>IFERROR(G15/G$197,0)</f>
        <v>176.69696969696969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'[16]Sch B'!E40</f>
        <v>251801</v>
      </c>
      <c r="D16" s="273">
        <f>'[16]Sch B'!G40</f>
        <v>-251801</v>
      </c>
      <c r="E16" s="259">
        <f t="shared" si="1"/>
        <v>0</v>
      </c>
      <c r="F16" s="183"/>
      <c r="G16" s="183">
        <f>IF(ISERROR(E16+F16),"",(E16+F16))</f>
        <v>0</v>
      </c>
      <c r="H16" s="184">
        <f t="shared" si="0"/>
        <v>0</v>
      </c>
      <c r="J16" s="248" t="s">
        <v>350</v>
      </c>
      <c r="K16" s="249">
        <f>G205</f>
        <v>30378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5499467</v>
      </c>
      <c r="D17" s="273">
        <f>SUM(D12:D16)</f>
        <v>-248602</v>
      </c>
      <c r="E17" s="183">
        <f>SUM(E12:E16)</f>
        <v>5250865</v>
      </c>
      <c r="F17" s="183">
        <f>SUM(F12:F16)</f>
        <v>0</v>
      </c>
      <c r="G17" s="183">
        <f>IF(ISERROR(E17+F17),"",(E17+F17))</f>
        <v>5250865</v>
      </c>
      <c r="H17" s="184">
        <f t="shared" si="0"/>
        <v>1</v>
      </c>
      <c r="J17" s="248"/>
      <c r="K17" s="249"/>
      <c r="M17" s="237">
        <f>IFERROR(G17/G$198,0)</f>
        <v>176.76109203527906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126297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133591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'[16]Sch C'!D10</f>
        <v>88816</v>
      </c>
      <c r="D21" s="273">
        <f>'[16]Sch C'!F10</f>
        <v>0</v>
      </c>
      <c r="E21" s="259">
        <f t="shared" ref="E21:E56" si="2">SUM(C21:D21)</f>
        <v>88816</v>
      </c>
      <c r="F21" s="180"/>
      <c r="G21" s="180">
        <f t="shared" ref="G21:G57" si="3">IF(ISERROR(E21+F21),"",(E21+F21))</f>
        <v>88816</v>
      </c>
      <c r="H21" s="181">
        <f>IF(ISERROR(G21/$G$183),"",(G21/$G$183))</f>
        <v>1.8672620085050235E-2</v>
      </c>
      <c r="J21" s="261">
        <v>1900</v>
      </c>
      <c r="K21" s="261">
        <v>2132</v>
      </c>
      <c r="M21" s="237">
        <f>IFERROR(G21/G$198,0)</f>
        <v>2.9898337036288964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'[16]Sch C'!D11</f>
        <v>0</v>
      </c>
      <c r="D22" s="273">
        <f>'[16]Sch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'[16]Sch C'!D12</f>
        <v>86657</v>
      </c>
      <c r="D23" s="273">
        <f>'[16]Sch C'!F12</f>
        <v>0</v>
      </c>
      <c r="E23" s="259">
        <f t="shared" si="2"/>
        <v>86657</v>
      </c>
      <c r="F23" s="183"/>
      <c r="G23" s="183">
        <f t="shared" si="3"/>
        <v>86657</v>
      </c>
      <c r="H23" s="181">
        <f t="shared" si="4"/>
        <v>1.8218713280379641E-2</v>
      </c>
      <c r="J23" s="189">
        <v>3733</v>
      </c>
      <c r="K23" s="189">
        <v>3985</v>
      </c>
      <c r="M23" s="237">
        <f t="shared" si="5"/>
        <v>2.9171547835454117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'[16]Sch C'!D13</f>
        <v>100796</v>
      </c>
      <c r="D24" s="273">
        <f>'[16]Sch C'!F13</f>
        <v>-75739</v>
      </c>
      <c r="E24" s="259">
        <f t="shared" si="2"/>
        <v>25057</v>
      </c>
      <c r="F24" s="183"/>
      <c r="G24" s="183">
        <f t="shared" si="3"/>
        <v>25057</v>
      </c>
      <c r="H24" s="181">
        <f t="shared" si="4"/>
        <v>5.2679679502691378E-3</v>
      </c>
      <c r="J24" s="136"/>
      <c r="K24" s="136"/>
      <c r="M24" s="237">
        <f t="shared" si="5"/>
        <v>0.84349962970443682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'[16]Sch C'!D14</f>
        <v>0</v>
      </c>
      <c r="D25" s="273">
        <f>'[16]Sch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'[16]Sch C'!D15</f>
        <v>0</v>
      </c>
      <c r="D26" s="273">
        <f>'[16]Sch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'[16]Sch C'!D16</f>
        <v>651315</v>
      </c>
      <c r="D27" s="273">
        <f>'[16]Sch C'!F16</f>
        <v>-418261</v>
      </c>
      <c r="E27" s="259">
        <f t="shared" si="2"/>
        <v>233054</v>
      </c>
      <c r="F27" s="183"/>
      <c r="G27" s="183">
        <f t="shared" si="3"/>
        <v>233054</v>
      </c>
      <c r="H27" s="181">
        <f t="shared" si="4"/>
        <v>4.8997126658499569E-2</v>
      </c>
      <c r="J27" s="136"/>
      <c r="K27" s="136"/>
      <c r="M27" s="237">
        <f t="shared" si="5"/>
        <v>7.8453511075203659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'[16]Sch C'!D17</f>
        <v>826</v>
      </c>
      <c r="D28" s="273">
        <f>'[16]Sch C'!F17</f>
        <v>-826</v>
      </c>
      <c r="E28" s="259">
        <f t="shared" si="2"/>
        <v>0</v>
      </c>
      <c r="F28" s="183"/>
      <c r="G28" s="183">
        <f t="shared" si="3"/>
        <v>0</v>
      </c>
      <c r="H28" s="181">
        <f t="shared" si="4"/>
        <v>0</v>
      </c>
      <c r="J28" s="136"/>
      <c r="K28" s="136"/>
      <c r="M28" s="237">
        <f t="shared" si="5"/>
        <v>0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'[16]Sch C'!D18</f>
        <v>22157</v>
      </c>
      <c r="D29" s="273">
        <f>'[16]Sch C'!F18</f>
        <v>0</v>
      </c>
      <c r="E29" s="259">
        <f t="shared" si="2"/>
        <v>22157</v>
      </c>
      <c r="F29" s="183"/>
      <c r="G29" s="183">
        <f t="shared" si="3"/>
        <v>22157</v>
      </c>
      <c r="H29" s="181">
        <f t="shared" si="4"/>
        <v>4.6582737707671828E-3</v>
      </c>
      <c r="J29" s="136"/>
      <c r="K29" s="136"/>
      <c r="M29" s="237">
        <f t="shared" si="5"/>
        <v>0.74587625395542989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'[16]Sch C'!D19</f>
        <v>7613</v>
      </c>
      <c r="D30" s="273">
        <f>'[16]Sch C'!F19</f>
        <v>-1320</v>
      </c>
      <c r="E30" s="259">
        <f t="shared" si="2"/>
        <v>6293</v>
      </c>
      <c r="F30" s="183"/>
      <c r="G30" s="183">
        <f t="shared" si="3"/>
        <v>6293</v>
      </c>
      <c r="H30" s="181">
        <f t="shared" si="4"/>
        <v>1.3230363695192434E-3</v>
      </c>
      <c r="J30" s="136"/>
      <c r="K30" s="136"/>
      <c r="M30" s="237">
        <f t="shared" si="5"/>
        <v>0.21184272537534504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'[16]Sch C'!D20</f>
        <v>13060</v>
      </c>
      <c r="D31" s="273">
        <f>'[16]Sch C'!F20</f>
        <v>0</v>
      </c>
      <c r="E31" s="259">
        <f t="shared" si="2"/>
        <v>13060</v>
      </c>
      <c r="F31" s="183"/>
      <c r="G31" s="183">
        <f t="shared" si="3"/>
        <v>13060</v>
      </c>
      <c r="H31" s="181">
        <f t="shared" si="4"/>
        <v>2.7457262014812206E-3</v>
      </c>
      <c r="J31" s="136"/>
      <c r="K31" s="136"/>
      <c r="M31" s="237">
        <f t="shared" si="5"/>
        <v>0.43964182320070022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'[16]Sch C'!D21</f>
        <v>30463</v>
      </c>
      <c r="D32" s="273">
        <f>'[16]Sch C'!F21</f>
        <v>0</v>
      </c>
      <c r="E32" s="259">
        <f t="shared" si="2"/>
        <v>30463</v>
      </c>
      <c r="F32" s="183"/>
      <c r="G32" s="183">
        <f t="shared" si="3"/>
        <v>30463</v>
      </c>
      <c r="H32" s="181">
        <f t="shared" si="4"/>
        <v>6.40452199660968E-3</v>
      </c>
      <c r="J32" s="136"/>
      <c r="K32" s="136"/>
      <c r="M32" s="237">
        <f t="shared" si="5"/>
        <v>1.0254830673937925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'[16]Sch C'!D22</f>
        <v>0</v>
      </c>
      <c r="D33" s="273">
        <f>'[16]Sch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'[16]Sch C'!D23</f>
        <v>7807</v>
      </c>
      <c r="D34" s="273">
        <f>'[16]Sch C'!F23</f>
        <v>0</v>
      </c>
      <c r="E34" s="259">
        <f t="shared" si="2"/>
        <v>7807</v>
      </c>
      <c r="F34" s="183"/>
      <c r="G34" s="183">
        <f t="shared" si="3"/>
        <v>7807</v>
      </c>
      <c r="H34" s="181">
        <f t="shared" si="4"/>
        <v>1.6413387790937127E-3</v>
      </c>
      <c r="J34" s="136"/>
      <c r="K34" s="136"/>
      <c r="M34" s="237">
        <f t="shared" si="5"/>
        <v>0.26280886016293004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'[16]Sch C'!D24</f>
        <v>0</v>
      </c>
      <c r="D35" s="273">
        <f>'[16]Sch C'!F24</f>
        <v>0</v>
      </c>
      <c r="E35" s="259">
        <f t="shared" si="2"/>
        <v>0</v>
      </c>
      <c r="F35" s="183"/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'[16]Sch C'!D25</f>
        <v>0</v>
      </c>
      <c r="D36" s="273">
        <f>'[16]Sch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'[16]Sch C'!D26</f>
        <v>251313</v>
      </c>
      <c r="D37" s="273">
        <f>'[16]Sch C'!F26</f>
        <v>0</v>
      </c>
      <c r="E37" s="259">
        <f t="shared" si="2"/>
        <v>251313</v>
      </c>
      <c r="F37" s="183"/>
      <c r="G37" s="183">
        <f t="shared" si="3"/>
        <v>251313</v>
      </c>
      <c r="H37" s="181">
        <f t="shared" si="4"/>
        <v>5.2835887356267222E-2</v>
      </c>
      <c r="J37" s="136"/>
      <c r="K37" s="136"/>
      <c r="M37" s="237">
        <f t="shared" si="5"/>
        <v>8.4600080791759247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'[16]Sch C'!D27</f>
        <v>0</v>
      </c>
      <c r="D38" s="273">
        <f>'[16]Sch C'!F27</f>
        <v>0</v>
      </c>
      <c r="E38" s="259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'[16]Sch C'!D28</f>
        <v>0</v>
      </c>
      <c r="D39" s="273">
        <f>'[16]Sch C'!F28</f>
        <v>0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'[16]Sch C'!D29</f>
        <v>-1132</v>
      </c>
      <c r="D40" s="273">
        <f>'[16]Sch C'!F29</f>
        <v>1132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'[16]Sch C'!D30</f>
        <v>0</v>
      </c>
      <c r="D41" s="273">
        <f>'[16]Sch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'[16]Sch C'!D31</f>
        <v>0</v>
      </c>
      <c r="D42" s="273">
        <f>'[16]Sch C'!F31</f>
        <v>0</v>
      </c>
      <c r="E42" s="259">
        <f t="shared" si="2"/>
        <v>0</v>
      </c>
      <c r="F42" s="183"/>
      <c r="G42" s="183">
        <f t="shared" si="3"/>
        <v>0</v>
      </c>
      <c r="H42" s="181">
        <f t="shared" si="4"/>
        <v>0</v>
      </c>
      <c r="J42" s="136"/>
      <c r="K42" s="136"/>
      <c r="M42" s="237">
        <f t="shared" si="5"/>
        <v>0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'[16]Sch C'!D32</f>
        <v>21932</v>
      </c>
      <c r="D43" s="273">
        <f>'[16]Sch C'!F32</f>
        <v>0</v>
      </c>
      <c r="E43" s="259">
        <f t="shared" si="2"/>
        <v>21932</v>
      </c>
      <c r="F43" s="183"/>
      <c r="G43" s="183">
        <f t="shared" si="3"/>
        <v>21932</v>
      </c>
      <c r="H43" s="181">
        <f t="shared" si="4"/>
        <v>4.61096991201272E-3</v>
      </c>
      <c r="J43" s="136"/>
      <c r="K43" s="136"/>
      <c r="M43" s="237">
        <f t="shared" si="5"/>
        <v>0.73830202652662758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'[16]Sch C'!D33</f>
        <v>0</v>
      </c>
      <c r="D44" s="273">
        <f>'[16]Sch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'[16]Sch C'!D34</f>
        <v>4017</v>
      </c>
      <c r="D45" s="273">
        <f>'[16]Sch C'!F34</f>
        <v>0</v>
      </c>
      <c r="E45" s="259">
        <f t="shared" si="2"/>
        <v>4017</v>
      </c>
      <c r="F45" s="183"/>
      <c r="G45" s="183">
        <f t="shared" si="3"/>
        <v>4017</v>
      </c>
      <c r="H45" s="181">
        <f t="shared" si="4"/>
        <v>8.4453155829632945E-4</v>
      </c>
      <c r="J45" s="136"/>
      <c r="K45" s="136"/>
      <c r="M45" s="237">
        <f t="shared" si="5"/>
        <v>0.13522520702888305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'[16]Sch C'!D35</f>
        <v>0</v>
      </c>
      <c r="D46" s="273">
        <f>'[16]Sch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'[16]Sch C'!D36</f>
        <v>0</v>
      </c>
      <c r="D47" s="273">
        <f>'[16]Sch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'[16]Sch C'!D37</f>
        <v>0</v>
      </c>
      <c r="D48" s="273">
        <f>'[16]Sch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'[16]Sch C'!D38</f>
        <v>0</v>
      </c>
      <c r="D49" s="273">
        <f>'[16]Sch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'[16]Sch C'!D39</f>
        <v>9055</v>
      </c>
      <c r="D50" s="273">
        <f>'[16]Sch C'!F39</f>
        <v>0</v>
      </c>
      <c r="E50" s="259">
        <f t="shared" si="2"/>
        <v>9055</v>
      </c>
      <c r="F50" s="183"/>
      <c r="G50" s="183">
        <f t="shared" si="3"/>
        <v>9055</v>
      </c>
      <c r="H50" s="181">
        <f t="shared" si="4"/>
        <v>1.9037175156517957E-3</v>
      </c>
      <c r="J50" s="136"/>
      <c r="K50" s="136"/>
      <c r="M50" s="237">
        <f t="shared" si="5"/>
        <v>0.30482057496801995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'[16]Sch C'!D40</f>
        <v>0</v>
      </c>
      <c r="D51" s="273">
        <f>'[16]Sch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'[16]Sch C'!D41</f>
        <v>14312</v>
      </c>
      <c r="D52" s="273">
        <f>'[16]Sch C'!F41</f>
        <v>0</v>
      </c>
      <c r="E52" s="259">
        <f t="shared" si="2"/>
        <v>14312</v>
      </c>
      <c r="F52" s="183"/>
      <c r="G52" s="183">
        <f t="shared" si="3"/>
        <v>14312</v>
      </c>
      <c r="H52" s="181">
        <f t="shared" si="4"/>
        <v>3.0089458955282716E-3</v>
      </c>
      <c r="J52" s="136"/>
      <c r="K52" s="136"/>
      <c r="M52" s="237">
        <f t="shared" si="5"/>
        <v>0.48178819093785769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'[16]Sch C'!D42</f>
        <v>1100</v>
      </c>
      <c r="D53" s="273">
        <f>'[16]Sch C'!F42</f>
        <v>0</v>
      </c>
      <c r="E53" s="259">
        <f t="shared" si="2"/>
        <v>1100</v>
      </c>
      <c r="F53" s="183"/>
      <c r="G53" s="183">
        <f t="shared" si="3"/>
        <v>1100</v>
      </c>
      <c r="H53" s="181">
        <f t="shared" si="4"/>
        <v>2.3126330946625899E-4</v>
      </c>
      <c r="J53" s="136"/>
      <c r="K53" s="136"/>
      <c r="M53" s="237">
        <f t="shared" si="5"/>
        <v>3.7029556318588834E-2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'[16]Sch C'!D43</f>
        <v>5680</v>
      </c>
      <c r="D54" s="273">
        <f>'[16]Sch C'!F43</f>
        <v>-5680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'[16]Sch C'!D44</f>
        <v>0</v>
      </c>
      <c r="D55" s="273">
        <f>'[16]Sch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'[16]Sch C'!D45</f>
        <v>34005</v>
      </c>
      <c r="D56" s="273">
        <f>'[16]Sch C'!F45</f>
        <v>-23288</v>
      </c>
      <c r="E56" s="259">
        <f t="shared" si="2"/>
        <v>10717</v>
      </c>
      <c r="F56" s="183"/>
      <c r="G56" s="183">
        <f t="shared" si="3"/>
        <v>10717</v>
      </c>
      <c r="H56" s="181">
        <f t="shared" si="4"/>
        <v>2.2531353523180886E-3</v>
      </c>
      <c r="J56" s="136"/>
      <c r="K56" s="136"/>
      <c r="M56" s="237">
        <f t="shared" si="5"/>
        <v>0.36076886824210597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1349792</v>
      </c>
      <c r="D57" s="273">
        <f>SUM(D21:D56)</f>
        <v>-523982</v>
      </c>
      <c r="E57" s="183">
        <f>SUM(E21:E56)</f>
        <v>825810</v>
      </c>
      <c r="F57" s="183">
        <f>SUM(F21:F56)</f>
        <v>0</v>
      </c>
      <c r="G57" s="183">
        <f t="shared" si="3"/>
        <v>825810</v>
      </c>
      <c r="H57" s="181">
        <f t="shared" si="4"/>
        <v>0.17361777599121031</v>
      </c>
      <c r="J57" s="136"/>
      <c r="K57" s="136"/>
      <c r="M57" s="237">
        <f t="shared" si="5"/>
        <v>27.799434457685315</v>
      </c>
      <c r="N57" s="243">
        <f>SUMMARY!M57</f>
        <v>39.672950949912064</v>
      </c>
      <c r="O57" s="238">
        <f>M57/N57-1</f>
        <v>-0.29928493363695863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'[16]Sch C'!D57</f>
        <v>251866</v>
      </c>
      <c r="D60" s="273">
        <f>'[16]Sch C'!F57</f>
        <v>-251866</v>
      </c>
      <c r="E60" s="259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'[16]Sch C'!D58</f>
        <v>0</v>
      </c>
      <c r="D61" s="273">
        <f>'[16]Sch C'!F58</f>
        <v>65310</v>
      </c>
      <c r="E61" s="259">
        <f t="shared" si="6"/>
        <v>65310</v>
      </c>
      <c r="F61" s="179"/>
      <c r="G61" s="179">
        <f t="shared" ref="G61:G76" si="7">IF(ISERROR(E61+F61),"",(E61+F61))</f>
        <v>65310</v>
      </c>
      <c r="H61" s="181">
        <f t="shared" ref="H61:H76" si="8">IF(ISERROR(G61/$G$183),"",(G61/$G$183))</f>
        <v>1.3730733401128523E-2</v>
      </c>
      <c r="J61" s="136"/>
      <c r="K61" s="136"/>
      <c r="M61" s="237">
        <f t="shared" ref="M61:M77" si="9">IFERROR(G61/G$198,0)</f>
        <v>2.1985457483336699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'[16]Sch C'!D59</f>
        <v>329816</v>
      </c>
      <c r="D62" s="273">
        <f>'[16]Sch C'!F59</f>
        <v>-190379</v>
      </c>
      <c r="E62" s="259">
        <f t="shared" si="6"/>
        <v>139437</v>
      </c>
      <c r="F62" s="179"/>
      <c r="G62" s="179">
        <f t="shared" si="7"/>
        <v>139437</v>
      </c>
      <c r="H62" s="181">
        <f t="shared" si="8"/>
        <v>2.9315147347315232E-2</v>
      </c>
      <c r="J62" s="136"/>
      <c r="K62" s="136"/>
      <c r="M62" s="237">
        <f t="shared" si="9"/>
        <v>4.693900222177338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'[16]Sch C'!D60</f>
        <v>13125</v>
      </c>
      <c r="D63" s="273">
        <f>'[16]Sch C'!F60</f>
        <v>0</v>
      </c>
      <c r="E63" s="259">
        <f t="shared" si="6"/>
        <v>13125</v>
      </c>
      <c r="F63" s="179"/>
      <c r="G63" s="179">
        <f t="shared" si="7"/>
        <v>13125</v>
      </c>
      <c r="H63" s="181">
        <f t="shared" si="8"/>
        <v>2.7593917606769541E-3</v>
      </c>
      <c r="J63" s="136"/>
      <c r="K63" s="136"/>
      <c r="M63" s="237">
        <f t="shared" si="9"/>
        <v>0.44182993334679865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'[16]Sch C'!D61</f>
        <v>18586</v>
      </c>
      <c r="D64" s="273">
        <f>'[16]Sch C'!F61</f>
        <v>-14364</v>
      </c>
      <c r="E64" s="259">
        <f t="shared" si="6"/>
        <v>4222</v>
      </c>
      <c r="F64" s="179"/>
      <c r="G64" s="179">
        <f t="shared" si="7"/>
        <v>4222</v>
      </c>
      <c r="H64" s="181">
        <f t="shared" si="8"/>
        <v>8.8763062960595042E-4</v>
      </c>
      <c r="J64" s="136"/>
      <c r="K64" s="136"/>
      <c r="M64" s="237">
        <f t="shared" si="9"/>
        <v>0.14212616979734732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'[16]Sch C'!D62</f>
        <v>0</v>
      </c>
      <c r="D65" s="273">
        <f>'[16]Sch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'[16]Sch C'!D63</f>
        <v>0</v>
      </c>
      <c r="D66" s="273">
        <f>'[16]Sch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'[16]Sch C'!D64</f>
        <v>0</v>
      </c>
      <c r="D67" s="273">
        <f>'[16]Sch C'!F64</f>
        <v>10404</v>
      </c>
      <c r="E67" s="259">
        <f t="shared" si="6"/>
        <v>10404</v>
      </c>
      <c r="F67" s="179"/>
      <c r="G67" s="179">
        <f t="shared" si="7"/>
        <v>10404</v>
      </c>
      <c r="H67" s="181">
        <f t="shared" si="8"/>
        <v>2.1873304288063259E-3</v>
      </c>
      <c r="J67" s="136"/>
      <c r="K67" s="136"/>
      <c r="M67" s="237">
        <f t="shared" si="9"/>
        <v>0.35023227630781661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'[16]Sch C'!D65</f>
        <v>0</v>
      </c>
      <c r="D68" s="273">
        <f>'[16]Sch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'[16]Sch C'!D66</f>
        <v>0</v>
      </c>
      <c r="D69" s="273">
        <f>'[16]Sch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'[16]Sch C'!D67</f>
        <v>0</v>
      </c>
      <c r="D70" s="273">
        <f>'[16]Sch C'!F67</f>
        <v>14364</v>
      </c>
      <c r="E70" s="259">
        <f t="shared" si="6"/>
        <v>14364</v>
      </c>
      <c r="F70" s="179"/>
      <c r="G70" s="179">
        <f t="shared" si="7"/>
        <v>14364</v>
      </c>
      <c r="H70" s="181">
        <f t="shared" si="8"/>
        <v>3.0198783428848582E-3</v>
      </c>
      <c r="J70" s="136"/>
      <c r="K70" s="136"/>
      <c r="M70" s="237">
        <f t="shared" si="9"/>
        <v>0.48353867905473641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'[16]Sch C'!D68</f>
        <v>0</v>
      </c>
      <c r="D71" s="273">
        <f>'[16]Sch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'[16]Sch C'!D69</f>
        <v>227728</v>
      </c>
      <c r="D72" s="273">
        <f>'[16]Sch C'!F69</f>
        <v>-201159</v>
      </c>
      <c r="E72" s="259">
        <f t="shared" si="6"/>
        <v>26569</v>
      </c>
      <c r="F72" s="179"/>
      <c r="G72" s="179">
        <f t="shared" si="7"/>
        <v>26569</v>
      </c>
      <c r="H72" s="181">
        <f t="shared" si="8"/>
        <v>5.5858498810991229E-3</v>
      </c>
      <c r="J72" s="136"/>
      <c r="K72" s="136"/>
      <c r="M72" s="237">
        <f t="shared" si="9"/>
        <v>0.89439843802598806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'[16]Sch C'!D70</f>
        <v>0</v>
      </c>
      <c r="D73" s="273">
        <f>'[16]Sch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'[16]Sch C'!D71</f>
        <v>0</v>
      </c>
      <c r="D74" s="273">
        <f>'[16]Sch C'!F71</f>
        <v>0</v>
      </c>
      <c r="E74" s="259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'[16]Sch C'!D72</f>
        <v>0</v>
      </c>
      <c r="D75" s="273">
        <f>'[16]Sch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'[16]Sch C'!D73</f>
        <v>1241</v>
      </c>
      <c r="D76" s="273">
        <f>'[16]Sch C'!F73</f>
        <v>-1049</v>
      </c>
      <c r="E76" s="259">
        <f t="shared" si="6"/>
        <v>192</v>
      </c>
      <c r="F76" s="179"/>
      <c r="G76" s="179">
        <f t="shared" si="7"/>
        <v>192</v>
      </c>
      <c r="H76" s="181">
        <f t="shared" si="8"/>
        <v>4.03659594704743E-5</v>
      </c>
      <c r="J76" s="136"/>
      <c r="K76" s="136"/>
      <c r="M76" s="237">
        <f t="shared" si="9"/>
        <v>6.4633407392445967E-3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842362</v>
      </c>
      <c r="D77" s="273">
        <f>SUM(D60:D76)</f>
        <v>-568739</v>
      </c>
      <c r="E77" s="182">
        <f>SUM(E60:E76)</f>
        <v>273623</v>
      </c>
      <c r="F77" s="182">
        <f>SUM(F60:F76)</f>
        <v>0</v>
      </c>
      <c r="G77" s="183">
        <f>IF(ISERROR(E77+F77),"",(E77+F77))</f>
        <v>273623</v>
      </c>
      <c r="H77" s="181">
        <f>IF(ISERROR(G77/$G$183),"",(G77/$G$183))</f>
        <v>5.7526327750987441E-2</v>
      </c>
      <c r="J77" s="136"/>
      <c r="K77" s="136"/>
      <c r="M77" s="237">
        <f t="shared" si="9"/>
        <v>9.2110348077829389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'[16]Sch C'!D78</f>
        <v>111740</v>
      </c>
      <c r="D80" s="273">
        <f>'[16]Sch C'!F78</f>
        <v>0</v>
      </c>
      <c r="E80" s="259">
        <f t="shared" ref="E80:E91" si="10">SUM(C80:D80)</f>
        <v>111740</v>
      </c>
      <c r="F80" s="180"/>
      <c r="G80" s="180">
        <f>IF(ISERROR(E80+F80),"",(E80+F80))</f>
        <v>111740</v>
      </c>
      <c r="H80" s="181">
        <f t="shared" ref="H80:H92" si="11">IF(ISERROR(G80/$G$183),"",(G80/$G$183))</f>
        <v>2.3492147454327074E-2</v>
      </c>
      <c r="J80" s="261">
        <v>6493</v>
      </c>
      <c r="K80" s="261">
        <v>7098</v>
      </c>
      <c r="M80" s="237">
        <f t="shared" ref="M80:M92" si="12">IFERROR(G80/G$198,0)</f>
        <v>3.7615296573082877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'[16]Sch C'!D79</f>
        <v>10474</v>
      </c>
      <c r="D81" s="273">
        <f>'[16]Sch C'!F79</f>
        <v>4356</v>
      </c>
      <c r="E81" s="259">
        <f t="shared" si="10"/>
        <v>14830</v>
      </c>
      <c r="F81" s="183"/>
      <c r="G81" s="183">
        <f>IF(ISERROR(E81+F81),"",(E81+F81))</f>
        <v>14830</v>
      </c>
      <c r="H81" s="181">
        <f t="shared" si="11"/>
        <v>3.1178498903496553E-3</v>
      </c>
      <c r="J81" s="136"/>
      <c r="K81" s="136"/>
      <c r="M81" s="237">
        <f t="shared" si="12"/>
        <v>0.49922574564061134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'[16]Sch C'!D80</f>
        <v>17412</v>
      </c>
      <c r="D82" s="273">
        <f>'[16]Sch C'!F80</f>
        <v>0</v>
      </c>
      <c r="E82" s="259">
        <f t="shared" si="10"/>
        <v>17412</v>
      </c>
      <c r="F82" s="183"/>
      <c r="G82" s="183">
        <f>IF(ISERROR(E82+F82),"",(E82+F82))</f>
        <v>17412</v>
      </c>
      <c r="H82" s="181">
        <f t="shared" si="11"/>
        <v>3.6606879494786378E-3</v>
      </c>
      <c r="J82" s="136"/>
      <c r="K82" s="136"/>
      <c r="M82" s="237">
        <f t="shared" si="12"/>
        <v>0.58614421329024435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'[16]Sch C'!D81</f>
        <v>1323</v>
      </c>
      <c r="D83" s="273">
        <f>'[16]Sch C'!F81</f>
        <v>0</v>
      </c>
      <c r="E83" s="259">
        <f t="shared" si="10"/>
        <v>1323</v>
      </c>
      <c r="F83" s="183"/>
      <c r="G83" s="183">
        <f>IF(ISERROR(E83+F83),"",(E83+F83))</f>
        <v>1323</v>
      </c>
      <c r="H83" s="181">
        <f t="shared" si="11"/>
        <v>2.7814668947623696E-4</v>
      </c>
      <c r="J83" s="136"/>
      <c r="K83" s="136"/>
      <c r="M83" s="237">
        <f t="shared" si="12"/>
        <v>4.45364572813573E-2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'[16]Sch C'!D82</f>
        <v>3820</v>
      </c>
      <c r="D84" s="273">
        <f>'[16]Sch C'!F82</f>
        <v>0</v>
      </c>
      <c r="E84" s="259">
        <f t="shared" si="10"/>
        <v>3820</v>
      </c>
      <c r="F84" s="183"/>
      <c r="G84" s="183">
        <f t="shared" ref="G84:G91" si="13">IF(ISERROR(E84+F84),"",(E84+F84))</f>
        <v>3820</v>
      </c>
      <c r="H84" s="181">
        <f t="shared" si="11"/>
        <v>8.031144019646449E-4</v>
      </c>
      <c r="J84" s="136"/>
      <c r="K84" s="136"/>
      <c r="M84" s="237">
        <f t="shared" si="12"/>
        <v>0.12859355012455395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'[16]Sch C'!D83</f>
        <v>6966</v>
      </c>
      <c r="D85" s="273">
        <f>'[16]Sch C'!F83</f>
        <v>0</v>
      </c>
      <c r="E85" s="259">
        <f t="shared" si="10"/>
        <v>6966</v>
      </c>
      <c r="F85" s="183"/>
      <c r="G85" s="183">
        <f t="shared" si="13"/>
        <v>6966</v>
      </c>
      <c r="H85" s="181">
        <f t="shared" si="11"/>
        <v>1.4645274670381455E-3</v>
      </c>
      <c r="J85" s="136"/>
      <c r="K85" s="136"/>
      <c r="M85" s="237">
        <f t="shared" si="12"/>
        <v>0.23449808119571805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'[16]Sch C'!D84</f>
        <v>18120</v>
      </c>
      <c r="D86" s="273">
        <f>'[16]Sch C'!F84</f>
        <v>0</v>
      </c>
      <c r="E86" s="259">
        <f t="shared" si="10"/>
        <v>18120</v>
      </c>
      <c r="F86" s="183"/>
      <c r="G86" s="183">
        <f t="shared" si="13"/>
        <v>18120</v>
      </c>
      <c r="H86" s="181">
        <f t="shared" si="11"/>
        <v>3.8095374250260118E-3</v>
      </c>
      <c r="J86" s="136"/>
      <c r="K86" s="136"/>
      <c r="M86" s="237">
        <f t="shared" si="12"/>
        <v>0.6099777822662088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'[16]Sch C'!D85</f>
        <v>0</v>
      </c>
      <c r="D87" s="273">
        <f>'[16]Sch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'[16]Sch C'!D86</f>
        <v>20228</v>
      </c>
      <c r="D88" s="273">
        <f>'[16]Sch C'!F86</f>
        <v>0</v>
      </c>
      <c r="E88" s="259">
        <f t="shared" si="10"/>
        <v>20228</v>
      </c>
      <c r="F88" s="183"/>
      <c r="G88" s="183">
        <f t="shared" si="13"/>
        <v>20228</v>
      </c>
      <c r="H88" s="181">
        <f t="shared" si="11"/>
        <v>4.2527220217122609E-3</v>
      </c>
      <c r="J88" s="136"/>
      <c r="K88" s="136"/>
      <c r="M88" s="237">
        <f t="shared" si="12"/>
        <v>0.68093987746583184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'[16]Sch C'!D87</f>
        <v>67616</v>
      </c>
      <c r="D89" s="273">
        <f>'[16]Sch C'!F87</f>
        <v>0</v>
      </c>
      <c r="E89" s="259">
        <f t="shared" si="10"/>
        <v>67616</v>
      </c>
      <c r="F89" s="183"/>
      <c r="G89" s="183">
        <f t="shared" si="13"/>
        <v>67616</v>
      </c>
      <c r="H89" s="181">
        <f t="shared" si="11"/>
        <v>1.4215545393518698E-2</v>
      </c>
      <c r="J89" s="136"/>
      <c r="K89" s="136"/>
      <c r="M89" s="237">
        <f t="shared" si="12"/>
        <v>2.2761731636706388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'[16]Sch C'!D88</f>
        <v>0</v>
      </c>
      <c r="D90" s="273">
        <f>'[16]Sch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'[16]Sch C'!D89</f>
        <v>8150</v>
      </c>
      <c r="D91" s="273">
        <f>'[16]Sch C'!F89</f>
        <v>32420</v>
      </c>
      <c r="E91" s="259">
        <f t="shared" si="10"/>
        <v>40570</v>
      </c>
      <c r="F91" s="183"/>
      <c r="G91" s="183">
        <f t="shared" si="13"/>
        <v>40570</v>
      </c>
      <c r="H91" s="181">
        <f t="shared" si="11"/>
        <v>8.5294113318601164E-3</v>
      </c>
      <c r="J91" s="136"/>
      <c r="K91" s="136"/>
      <c r="M91" s="237">
        <f t="shared" si="12"/>
        <v>1.3657173634955901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265849</v>
      </c>
      <c r="D92" s="273">
        <f>SUM(D80:D91)</f>
        <v>36776</v>
      </c>
      <c r="E92" s="183">
        <f>SUM(E80:E91)</f>
        <v>302625</v>
      </c>
      <c r="F92" s="183">
        <f>SUM(F80:F91)</f>
        <v>0</v>
      </c>
      <c r="G92" s="183">
        <f>IF(ISERROR(E92+F92),"",(E92+F92))</f>
        <v>302625</v>
      </c>
      <c r="H92" s="181">
        <f t="shared" si="11"/>
        <v>6.3623690024751475E-2</v>
      </c>
      <c r="J92" s="136"/>
      <c r="K92" s="136"/>
      <c r="M92" s="237">
        <f t="shared" si="12"/>
        <v>10.187335891739043</v>
      </c>
      <c r="N92" s="243">
        <f>SUMMARY!M92</f>
        <v>10.36414021133649</v>
      </c>
      <c r="O92" s="238">
        <f>M92/N92-1</f>
        <v>-1.7059236559155755E-2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'[16]Sch C'!D93</f>
        <v>0</v>
      </c>
      <c r="D95" s="273">
        <f>'[16]Sch C'!F93</f>
        <v>0</v>
      </c>
      <c r="E95" s="259">
        <f t="shared" ref="E95:E100" si="14">SUM(C95:D95)</f>
        <v>0</v>
      </c>
      <c r="F95" s="180"/>
      <c r="G95" s="180">
        <f t="shared" ref="G95:G101" si="15">IF(ISERROR(E95+F95),"",(E95+F95))</f>
        <v>0</v>
      </c>
      <c r="H95" s="181">
        <f t="shared" ref="H95:H101" si="16">IF(ISERROR(G95/$G$183),"",(G95/$G$183))</f>
        <v>0</v>
      </c>
      <c r="J95" s="261">
        <v>0</v>
      </c>
      <c r="K95" s="261">
        <v>0</v>
      </c>
      <c r="M95" s="237">
        <f t="shared" ref="M95:M101" si="17">IFERROR(G95/G$198,0)</f>
        <v>0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'[16]Sch C'!D94</f>
        <v>0</v>
      </c>
      <c r="D96" s="273">
        <f>'[16]Sch C'!F94</f>
        <v>0</v>
      </c>
      <c r="E96" s="259">
        <f t="shared" si="14"/>
        <v>0</v>
      </c>
      <c r="F96" s="183"/>
      <c r="G96" s="183">
        <f t="shared" si="15"/>
        <v>0</v>
      </c>
      <c r="H96" s="181">
        <f t="shared" si="16"/>
        <v>0</v>
      </c>
      <c r="J96" s="136"/>
      <c r="K96" s="136"/>
      <c r="M96" s="237">
        <f t="shared" si="17"/>
        <v>0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'[16]Sch C'!D95</f>
        <v>418135</v>
      </c>
      <c r="D97" s="273">
        <f>'[16]Sch C'!F95</f>
        <v>-166507</v>
      </c>
      <c r="E97" s="259">
        <f t="shared" si="14"/>
        <v>251628</v>
      </c>
      <c r="F97" s="183"/>
      <c r="G97" s="183">
        <f t="shared" si="15"/>
        <v>251628</v>
      </c>
      <c r="H97" s="181">
        <f t="shared" si="16"/>
        <v>5.2902112758523474E-2</v>
      </c>
      <c r="J97" s="136"/>
      <c r="K97" s="136"/>
      <c r="M97" s="237">
        <f t="shared" si="17"/>
        <v>8.4706119975762473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'[16]Sch C'!D96</f>
        <v>-5537</v>
      </c>
      <c r="D98" s="273">
        <f>'[16]Sch C'!F96</f>
        <v>166507</v>
      </c>
      <c r="E98" s="259">
        <f t="shared" si="14"/>
        <v>160970</v>
      </c>
      <c r="F98" s="183"/>
      <c r="G98" s="183">
        <f t="shared" si="15"/>
        <v>160970</v>
      </c>
      <c r="H98" s="181">
        <f t="shared" si="16"/>
        <v>3.3842231749803373E-2</v>
      </c>
      <c r="J98" s="136"/>
      <c r="K98" s="136"/>
      <c r="M98" s="237">
        <f t="shared" si="17"/>
        <v>5.4187706187302229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'[16]Sch C'!D97</f>
        <v>630</v>
      </c>
      <c r="D99" s="273">
        <f>'[16]Sch C'!F97</f>
        <v>0</v>
      </c>
      <c r="E99" s="259">
        <f t="shared" si="14"/>
        <v>630</v>
      </c>
      <c r="F99" s="183"/>
      <c r="G99" s="183">
        <f t="shared" si="15"/>
        <v>630</v>
      </c>
      <c r="H99" s="181">
        <f t="shared" si="16"/>
        <v>1.3245080451249378E-4</v>
      </c>
      <c r="J99" s="136"/>
      <c r="K99" s="136"/>
      <c r="M99" s="237">
        <f t="shared" si="17"/>
        <v>2.1207836800646335E-2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'[16]Sch C'!D98</f>
        <v>11</v>
      </c>
      <c r="D100" s="273">
        <f>'[16]Sch C'!F98</f>
        <v>57</v>
      </c>
      <c r="E100" s="259">
        <f t="shared" si="14"/>
        <v>68</v>
      </c>
      <c r="F100" s="183"/>
      <c r="G100" s="183">
        <f t="shared" si="15"/>
        <v>68</v>
      </c>
      <c r="H100" s="181">
        <f t="shared" si="16"/>
        <v>1.4296277312459647E-5</v>
      </c>
      <c r="J100" s="136"/>
      <c r="K100" s="136"/>
      <c r="M100" s="237">
        <f t="shared" si="17"/>
        <v>2.2890998451491279E-3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413239</v>
      </c>
      <c r="D101" s="273">
        <f>SUM(D95:D100)</f>
        <v>57</v>
      </c>
      <c r="E101" s="183">
        <f>SUM(E95:E100)</f>
        <v>413296</v>
      </c>
      <c r="F101" s="183">
        <f>SUM(F95:F100)</f>
        <v>0</v>
      </c>
      <c r="G101" s="183">
        <f t="shared" si="15"/>
        <v>413296</v>
      </c>
      <c r="H101" s="181">
        <f t="shared" si="16"/>
        <v>8.6891091590151806E-2</v>
      </c>
      <c r="J101" s="136"/>
      <c r="K101" s="136"/>
      <c r="M101" s="237">
        <f t="shared" si="17"/>
        <v>13.912879552952266</v>
      </c>
      <c r="N101" s="243">
        <f>SUMMARY!M101</f>
        <v>14.116295917008408</v>
      </c>
      <c r="O101" s="238">
        <f>M101/N101-1</f>
        <v>-1.4410038246013945E-2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'[16]Sch C'!D102</f>
        <v>0</v>
      </c>
      <c r="D104" s="273">
        <f>'[16]Sch C'!F102</f>
        <v>0</v>
      </c>
      <c r="E104" s="259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'[16]Sch C'!D103</f>
        <v>0</v>
      </c>
      <c r="D105" s="273">
        <f>'[16]Sch C'!F103</f>
        <v>0</v>
      </c>
      <c r="E105" s="259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'[16]Sch C'!D104</f>
        <v>0</v>
      </c>
      <c r="D106" s="273">
        <f>'[16]Sch C'!F104</f>
        <v>0</v>
      </c>
      <c r="E106" s="259">
        <f t="shared" si="18"/>
        <v>0</v>
      </c>
      <c r="F106" s="183"/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'[16]Sch C'!D105</f>
        <v>77690</v>
      </c>
      <c r="D107" s="273">
        <f>'[16]Sch C'!F105</f>
        <v>0</v>
      </c>
      <c r="E107" s="259">
        <f t="shared" si="18"/>
        <v>77690</v>
      </c>
      <c r="F107" s="183"/>
      <c r="G107" s="183">
        <f t="shared" si="19"/>
        <v>77690</v>
      </c>
      <c r="H107" s="181">
        <f t="shared" si="20"/>
        <v>1.6333496829485147E-2</v>
      </c>
      <c r="J107" s="136"/>
      <c r="K107" s="136"/>
      <c r="M107" s="237">
        <f t="shared" si="21"/>
        <v>2.6152965730828788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'[16]Sch C'!D106</f>
        <v>18</v>
      </c>
      <c r="D108" s="273">
        <f>'[16]Sch C'!F106</f>
        <v>0</v>
      </c>
      <c r="E108" s="259">
        <f t="shared" si="18"/>
        <v>18</v>
      </c>
      <c r="F108" s="183"/>
      <c r="G108" s="183">
        <f t="shared" si="19"/>
        <v>18</v>
      </c>
      <c r="H108" s="181">
        <f t="shared" si="20"/>
        <v>3.7843087003569652E-6</v>
      </c>
      <c r="J108" s="136"/>
      <c r="K108" s="136"/>
      <c r="M108" s="237">
        <f t="shared" si="21"/>
        <v>6.0593819430418102E-4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'[16]Sch C'!D107</f>
        <v>0</v>
      </c>
      <c r="D109" s="273">
        <f>'[16]Sch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77708</v>
      </c>
      <c r="D110" s="273">
        <f>SUM(D104:D109)</f>
        <v>0</v>
      </c>
      <c r="E110" s="183">
        <f>SUM(E104:E109)</f>
        <v>77708</v>
      </c>
      <c r="F110" s="183">
        <f>SUM(F104:F109)</f>
        <v>0</v>
      </c>
      <c r="G110" s="183">
        <f t="shared" si="19"/>
        <v>77708</v>
      </c>
      <c r="H110" s="181">
        <f t="shared" si="20"/>
        <v>1.6337281138185503E-2</v>
      </c>
      <c r="J110" s="136"/>
      <c r="K110" s="136"/>
      <c r="M110" s="237">
        <f t="shared" si="21"/>
        <v>2.615902511277183</v>
      </c>
      <c r="N110" s="243">
        <f>SUMMARY!M110</f>
        <v>2.6822243142585545</v>
      </c>
      <c r="O110" s="238">
        <f>M110/N110-1</f>
        <v>-2.4726419274036293E-2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'[16]Sch C'!D121</f>
        <v>0</v>
      </c>
      <c r="D113" s="273">
        <f>'[16]Sch C'!F121</f>
        <v>0</v>
      </c>
      <c r="E113" s="259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'[16]Sch C'!D122</f>
        <v>0</v>
      </c>
      <c r="D114" s="273">
        <f>'[16]Sch C'!F122</f>
        <v>0</v>
      </c>
      <c r="E114" s="259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'[16]Sch C'!D123</f>
        <v>0</v>
      </c>
      <c r="D115" s="273">
        <f>'[16]Sch C'!F123</f>
        <v>0</v>
      </c>
      <c r="E115" s="259">
        <f t="shared" si="22"/>
        <v>0</v>
      </c>
      <c r="F115" s="183"/>
      <c r="G115" s="183">
        <f t="shared" si="23"/>
        <v>0</v>
      </c>
      <c r="H115" s="181">
        <f t="shared" si="24"/>
        <v>0</v>
      </c>
      <c r="J115" s="136"/>
      <c r="K115" s="136"/>
      <c r="M115" s="237">
        <f t="shared" si="25"/>
        <v>0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'[16]Sch C'!D124</f>
        <v>116535</v>
      </c>
      <c r="D116" s="273">
        <f>'[16]Sch C'!F124</f>
        <v>0</v>
      </c>
      <c r="E116" s="259">
        <f t="shared" si="22"/>
        <v>116535</v>
      </c>
      <c r="F116" s="183"/>
      <c r="G116" s="183">
        <f t="shared" si="23"/>
        <v>116535</v>
      </c>
      <c r="H116" s="181">
        <f t="shared" si="24"/>
        <v>2.4500245244227722E-2</v>
      </c>
      <c r="J116" s="136"/>
      <c r="K116" s="136"/>
      <c r="M116" s="237">
        <f t="shared" si="25"/>
        <v>3.9229448596243182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'[16]Sch C'!D125</f>
        <v>0</v>
      </c>
      <c r="D117" s="273">
        <f>'[16]Sch C'!F125</f>
        <v>7</v>
      </c>
      <c r="E117" s="259">
        <f t="shared" si="22"/>
        <v>7</v>
      </c>
      <c r="F117" s="183"/>
      <c r="G117" s="183">
        <f t="shared" si="23"/>
        <v>7</v>
      </c>
      <c r="H117" s="181">
        <f t="shared" si="24"/>
        <v>1.4716756056943755E-6</v>
      </c>
      <c r="J117" s="136"/>
      <c r="K117" s="136"/>
      <c r="M117" s="237">
        <f t="shared" si="25"/>
        <v>2.356426311182926E-4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116535</v>
      </c>
      <c r="D118" s="273">
        <f>SUM(D113:D117)</f>
        <v>7</v>
      </c>
      <c r="E118" s="183">
        <f>SUM(E113:E117)</f>
        <v>116542</v>
      </c>
      <c r="F118" s="183">
        <f>SUM(F113:F117)</f>
        <v>0</v>
      </c>
      <c r="G118" s="183">
        <f t="shared" si="23"/>
        <v>116542</v>
      </c>
      <c r="H118" s="181">
        <f t="shared" si="24"/>
        <v>2.4501716919833414E-2</v>
      </c>
      <c r="J118" s="136"/>
      <c r="K118" s="136"/>
      <c r="M118" s="237">
        <f t="shared" si="25"/>
        <v>3.9231805022554367</v>
      </c>
      <c r="N118" s="243">
        <f>SUMMARY!M118</f>
        <v>3.1676887539780583</v>
      </c>
      <c r="O118" s="238">
        <f>M118/N118-1</f>
        <v>0.23849936245428593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'[16]Sch C'!D129</f>
        <v>155269</v>
      </c>
      <c r="D121" s="273">
        <f>'[16]Sch C'!F129</f>
        <v>0</v>
      </c>
      <c r="E121" s="259">
        <f t="shared" ref="E121:E131" si="26">SUM(C121:D121)</f>
        <v>155269</v>
      </c>
      <c r="F121" s="180"/>
      <c r="G121" s="180">
        <f>IF(ISERROR(E121+F121),"",(E121+F121))</f>
        <v>155269</v>
      </c>
      <c r="H121" s="181">
        <f>IF(ISERROR(G121/$G$183),"",(G121/$G$183))</f>
        <v>3.2643657088651426E-2</v>
      </c>
      <c r="J121" s="261">
        <v>4960</v>
      </c>
      <c r="K121" s="261">
        <v>5504</v>
      </c>
      <c r="M121" s="237">
        <f t="shared" ref="M121:M131" si="27">IFERROR(G121/G$198,0)</f>
        <v>5.2268565273008818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'[16]Sch C'!D130</f>
        <v>14359</v>
      </c>
      <c r="D122" s="273">
        <f>'[16]Sch C'!F130</f>
        <v>6052</v>
      </c>
      <c r="E122" s="259">
        <f t="shared" si="26"/>
        <v>20411</v>
      </c>
      <c r="F122" s="180"/>
      <c r="G122" s="180">
        <f t="shared" ref="G122:G131" si="28">IF(ISERROR(E122+F122),"",(E122+F122))</f>
        <v>20411</v>
      </c>
      <c r="H122" s="181">
        <f t="shared" ref="H122:H131" si="29">IF(ISERROR(G122/$G$183),"",(G122/$G$183))</f>
        <v>4.2911958268325567E-3</v>
      </c>
      <c r="J122" s="136"/>
      <c r="K122" s="136"/>
      <c r="M122" s="237">
        <f t="shared" si="27"/>
        <v>0.68710024910792433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'[16]Sch C'!D131</f>
        <v>1114221</v>
      </c>
      <c r="D123" s="273">
        <f>'[16]Sch C'!F131</f>
        <v>0</v>
      </c>
      <c r="E123" s="259">
        <f t="shared" si="26"/>
        <v>1114221</v>
      </c>
      <c r="F123" s="180"/>
      <c r="G123" s="180">
        <f t="shared" si="28"/>
        <v>1114221</v>
      </c>
      <c r="H123" s="181">
        <f t="shared" si="29"/>
        <v>0.23425312357891323</v>
      </c>
      <c r="J123" s="261">
        <v>71829</v>
      </c>
      <c r="K123" s="261">
        <v>74754</v>
      </c>
      <c r="M123" s="237">
        <f t="shared" si="27"/>
        <v>37.508281155322159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'[16]Sch C'!D132</f>
        <v>104412</v>
      </c>
      <c r="D124" s="273">
        <f>'[16]Sch C'!F132</f>
        <v>43431</v>
      </c>
      <c r="E124" s="259">
        <f t="shared" si="26"/>
        <v>147843</v>
      </c>
      <c r="F124" s="180"/>
      <c r="G124" s="180">
        <f t="shared" si="28"/>
        <v>147843</v>
      </c>
      <c r="H124" s="181">
        <f t="shared" si="29"/>
        <v>3.1082419510381935E-2</v>
      </c>
      <c r="J124" s="136"/>
      <c r="K124" s="136"/>
      <c r="M124" s="237">
        <f t="shared" si="27"/>
        <v>4.9768733589173904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'[16]Sch C'!D133</f>
        <v>14400</v>
      </c>
      <c r="D125" s="273">
        <f>'[16]Sch C'!F133</f>
        <v>0</v>
      </c>
      <c r="E125" s="259">
        <f t="shared" si="26"/>
        <v>14400</v>
      </c>
      <c r="F125" s="180"/>
      <c r="G125" s="180">
        <f t="shared" si="28"/>
        <v>14400</v>
      </c>
      <c r="H125" s="181">
        <f t="shared" si="29"/>
        <v>3.0274469602855725E-3</v>
      </c>
      <c r="J125" s="261">
        <v>260</v>
      </c>
      <c r="K125" s="261">
        <v>260</v>
      </c>
      <c r="M125" s="237">
        <f t="shared" si="27"/>
        <v>0.48475055544334478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'[16]Sch C'!D134</f>
        <v>41116</v>
      </c>
      <c r="D126" s="273">
        <f>'[16]Sch C'!F134</f>
        <v>90</v>
      </c>
      <c r="E126" s="259">
        <f t="shared" si="26"/>
        <v>41206</v>
      </c>
      <c r="F126" s="180"/>
      <c r="G126" s="180">
        <f t="shared" si="28"/>
        <v>41206</v>
      </c>
      <c r="H126" s="181">
        <f t="shared" si="29"/>
        <v>8.6631235726060615E-3</v>
      </c>
      <c r="J126" s="136"/>
      <c r="K126" s="136"/>
      <c r="M126" s="237">
        <f t="shared" si="27"/>
        <v>1.3871271796943379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'[16]Sch C'!D135</f>
        <v>326</v>
      </c>
      <c r="D127" s="273">
        <f>'[16]Sch C'!F135</f>
        <v>0</v>
      </c>
      <c r="E127" s="259">
        <f t="shared" si="26"/>
        <v>326</v>
      </c>
      <c r="F127" s="180"/>
      <c r="G127" s="180">
        <f t="shared" si="28"/>
        <v>326</v>
      </c>
      <c r="H127" s="181">
        <f t="shared" si="29"/>
        <v>6.8538035350909483E-5</v>
      </c>
      <c r="J127" s="136"/>
      <c r="K127" s="136"/>
      <c r="M127" s="237">
        <f t="shared" si="27"/>
        <v>1.0974213963509056E-2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'[16]Sch C'!D136</f>
        <v>0</v>
      </c>
      <c r="D128" s="273">
        <f>'[16]Sch C'!F136</f>
        <v>0</v>
      </c>
      <c r="E128" s="259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'[16]Sch C'!D137</f>
        <v>0</v>
      </c>
      <c r="D129" s="273">
        <f>'[16]Sch C'!F137</f>
        <v>0</v>
      </c>
      <c r="E129" s="259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37">
        <f t="shared" si="27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'[16]Sch C'!D138</f>
        <v>0</v>
      </c>
      <c r="D130" s="273">
        <f>'[16]Sch C'!F138</f>
        <v>0</v>
      </c>
      <c r="E130" s="259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'[16]Sch C'!D139</f>
        <v>0</v>
      </c>
      <c r="D131" s="273">
        <f>'[16]Sch C'!F139</f>
        <v>0</v>
      </c>
      <c r="E131" s="259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'[16]Sch C'!D141</f>
        <v>0</v>
      </c>
      <c r="D133" s="273">
        <f>'[16]Sch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'[16]Sch C'!D142</f>
        <v>0</v>
      </c>
      <c r="D134" s="273">
        <f>'[16]Sch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'[16]Sch C'!D143</f>
        <v>0</v>
      </c>
      <c r="D135" s="273">
        <f>'[16]Sch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'[16]Sch C'!D144</f>
        <v>0</v>
      </c>
      <c r="D136" s="273">
        <f>'[16]Sch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'[16]Sch C'!D145</f>
        <v>0</v>
      </c>
      <c r="D137" s="273">
        <f>'[16]Sch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'[16]Sch C'!D146</f>
        <v>61543</v>
      </c>
      <c r="D138" s="273">
        <f>'[16]Sch C'!F146</f>
        <v>78271</v>
      </c>
      <c r="E138" s="259">
        <f t="shared" si="30"/>
        <v>139814</v>
      </c>
      <c r="F138" s="183"/>
      <c r="G138" s="183">
        <f>IF(ISERROR(E138+F138),"",(E138+F138))</f>
        <v>139814</v>
      </c>
      <c r="H138" s="181">
        <f t="shared" si="31"/>
        <v>2.9394407590650488E-2</v>
      </c>
      <c r="J138" s="136"/>
      <c r="K138" s="136"/>
      <c r="M138" s="237">
        <f t="shared" si="32"/>
        <v>4.7065912610247089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1505646</v>
      </c>
      <c r="D139" s="273">
        <f>SUM(D121:D138)</f>
        <v>127844</v>
      </c>
      <c r="E139" s="182">
        <f>SUM(E121:E138)</f>
        <v>1633490</v>
      </c>
      <c r="F139" s="182">
        <f>SUM(F121:F138)</f>
        <v>0</v>
      </c>
      <c r="G139" s="183">
        <f t="shared" si="33"/>
        <v>1633490</v>
      </c>
      <c r="H139" s="181">
        <f t="shared" si="31"/>
        <v>0.34342391216367218</v>
      </c>
      <c r="J139" s="136"/>
      <c r="K139" s="136"/>
      <c r="M139" s="237">
        <f t="shared" si="32"/>
        <v>54.988554500774256</v>
      </c>
      <c r="N139" s="243">
        <f>SUMMARY!M139</f>
        <v>37.231450929246826</v>
      </c>
      <c r="O139" s="238">
        <f>M139/N139-1</f>
        <v>0.47693826397666661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'[16]Sch C'!D150</f>
        <v>243806</v>
      </c>
      <c r="D142" s="273">
        <f>'[16]Sch C'!F150</f>
        <v>0</v>
      </c>
      <c r="E142" s="259">
        <f t="shared" ref="E142:E146" si="34">SUM(C142:D142)</f>
        <v>243806</v>
      </c>
      <c r="F142" s="180"/>
      <c r="G142" s="180">
        <f t="shared" ref="G142:G147" si="35">IF(ISERROR(E142+F142),"",(E142+F142))</f>
        <v>243806</v>
      </c>
      <c r="H142" s="181">
        <f t="shared" ref="H142:H147" si="36">IF(ISERROR(G142/$G$183),"",(G142/$G$183))</f>
        <v>5.1257620388846126E-2</v>
      </c>
      <c r="J142" s="261">
        <v>13987</v>
      </c>
      <c r="K142" s="261">
        <v>14920</v>
      </c>
      <c r="M142" s="237">
        <f t="shared" ref="M142:M147" si="37">IFERROR(G142/G$198,0)</f>
        <v>8.2072981889180632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'[16]Sch C'!D151</f>
        <v>24498</v>
      </c>
      <c r="D143" s="273">
        <f>'[16]Sch C'!F151</f>
        <v>9503</v>
      </c>
      <c r="E143" s="259">
        <f t="shared" si="34"/>
        <v>34001</v>
      </c>
      <c r="F143" s="183"/>
      <c r="G143" s="183">
        <f t="shared" si="35"/>
        <v>34001</v>
      </c>
      <c r="H143" s="181">
        <f t="shared" si="36"/>
        <v>7.1483488956020653E-3</v>
      </c>
      <c r="J143" s="136"/>
      <c r="K143" s="136"/>
      <c r="M143" s="237">
        <f t="shared" si="37"/>
        <v>1.144583585807581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'[16]Sch C'!D152</f>
        <v>0</v>
      </c>
      <c r="D144" s="273">
        <f>'[16]Sch C'!F152</f>
        <v>0</v>
      </c>
      <c r="E144" s="259">
        <f t="shared" si="34"/>
        <v>0</v>
      </c>
      <c r="F144" s="183"/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'[16]Sch C'!D153</f>
        <v>5663</v>
      </c>
      <c r="D145" s="273">
        <f>'[16]Sch C'!F153</f>
        <v>0</v>
      </c>
      <c r="E145" s="259">
        <f t="shared" si="34"/>
        <v>5663</v>
      </c>
      <c r="F145" s="183"/>
      <c r="G145" s="183">
        <f t="shared" si="35"/>
        <v>5663</v>
      </c>
      <c r="H145" s="181">
        <f t="shared" si="36"/>
        <v>1.1905855650067498E-3</v>
      </c>
      <c r="J145" s="136"/>
      <c r="K145" s="136"/>
      <c r="M145" s="237">
        <f t="shared" si="37"/>
        <v>0.19063488857469871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'[16]Sch C'!D154</f>
        <v>6222</v>
      </c>
      <c r="D146" s="273">
        <f>'[16]Sch C'!F154</f>
        <v>3</v>
      </c>
      <c r="E146" s="259">
        <f t="shared" si="34"/>
        <v>6225</v>
      </c>
      <c r="F146" s="183"/>
      <c r="G146" s="183">
        <f t="shared" si="35"/>
        <v>6225</v>
      </c>
      <c r="H146" s="181">
        <f t="shared" si="36"/>
        <v>1.308740092206784E-3</v>
      </c>
      <c r="J146" s="136"/>
      <c r="K146" s="136"/>
      <c r="M146" s="237">
        <f t="shared" si="37"/>
        <v>0.20955362553019591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280189</v>
      </c>
      <c r="D147" s="273">
        <f>SUM(D142:D146)</f>
        <v>9506</v>
      </c>
      <c r="E147" s="183">
        <f>SUM(E142:E146)</f>
        <v>289695</v>
      </c>
      <c r="F147" s="183">
        <f>SUM(F142:F146)</f>
        <v>0</v>
      </c>
      <c r="G147" s="183">
        <f t="shared" si="35"/>
        <v>289695</v>
      </c>
      <c r="H147" s="204">
        <f t="shared" si="36"/>
        <v>6.0905294941661726E-2</v>
      </c>
      <c r="J147" s="136"/>
      <c r="K147" s="136"/>
      <c r="M147" s="237">
        <f t="shared" si="37"/>
        <v>9.7520702888305397</v>
      </c>
      <c r="N147" s="243">
        <f>SUMMARY!M147</f>
        <v>3.5319826687546212</v>
      </c>
      <c r="O147" s="238">
        <f>M147/N147-1</f>
        <v>1.7610753515585977</v>
      </c>
      <c r="P147" s="178">
        <f>IF(O147&gt;=0.2,0.3,0)</f>
        <v>0.3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'[16]Sch C'!D158</f>
        <v>318047</v>
      </c>
      <c r="D150" s="273">
        <f>'[16]Sch C'!F158</f>
        <v>0</v>
      </c>
      <c r="E150" s="259">
        <f t="shared" ref="E150:E163" si="38">SUM(C150:D150)</f>
        <v>318047</v>
      </c>
      <c r="F150" s="183"/>
      <c r="G150" s="183">
        <f>IF(ISERROR(E150+F150),"",(E150+F150))</f>
        <v>318047</v>
      </c>
      <c r="H150" s="181">
        <f>IF(ISERROR(G150/$G$183),"",(G150/$G$183))</f>
        <v>6.6866001623468438E-2</v>
      </c>
      <c r="J150" s="261">
        <v>23135</v>
      </c>
      <c r="K150" s="261">
        <v>24938</v>
      </c>
      <c r="M150" s="237">
        <f t="shared" ref="M150:M164" si="39">IFERROR(G150/G$198,0)</f>
        <v>10.706490271325658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'[16]Sch C'!D159</f>
        <v>31303</v>
      </c>
      <c r="D151" s="273">
        <f>'[16]Sch C'!F159</f>
        <v>12397</v>
      </c>
      <c r="E151" s="259">
        <f t="shared" si="38"/>
        <v>43700</v>
      </c>
      <c r="F151" s="183"/>
      <c r="G151" s="183">
        <f>IF(ISERROR(E151+F151),"",(E151+F151))</f>
        <v>43700</v>
      </c>
      <c r="H151" s="181">
        <f>IF(ISERROR(G151/$G$183),"",(G151/$G$183))</f>
        <v>9.187460566977744E-3</v>
      </c>
      <c r="J151" s="136"/>
      <c r="K151" s="136"/>
      <c r="M151" s="237">
        <f t="shared" si="39"/>
        <v>1.4710832828384839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'[16]Sch C'!D160</f>
        <v>0</v>
      </c>
      <c r="D152" s="273">
        <f>'[16]Sch C'!F160</f>
        <v>0</v>
      </c>
      <c r="E152" s="259">
        <f t="shared" si="38"/>
        <v>0</v>
      </c>
      <c r="F152" s="183"/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'[16]Sch C'!D161</f>
        <v>443269</v>
      </c>
      <c r="D153" s="273">
        <f>'[16]Sch C'!F161</f>
        <v>0</v>
      </c>
      <c r="E153" s="259">
        <f t="shared" si="38"/>
        <v>443269</v>
      </c>
      <c r="F153" s="183"/>
      <c r="G153" s="183">
        <f t="shared" si="40"/>
        <v>443269</v>
      </c>
      <c r="H153" s="181">
        <f t="shared" si="41"/>
        <v>9.319259629436287E-2</v>
      </c>
      <c r="J153" s="206"/>
      <c r="K153" s="206"/>
      <c r="M153" s="237">
        <f t="shared" si="39"/>
        <v>14.921867636167777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'[16]Sch C'!D162</f>
        <v>0</v>
      </c>
      <c r="D154" s="273">
        <f>'[16]Sch C'!F162</f>
        <v>0</v>
      </c>
      <c r="E154" s="259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'[16]Sch C'!D163</f>
        <v>0</v>
      </c>
      <c r="D155" s="273">
        <f>'[16]Sch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'[16]Sch C'!D164</f>
        <v>0</v>
      </c>
      <c r="D156" s="273">
        <f>'[16]Sch C'!F164</f>
        <v>0</v>
      </c>
      <c r="E156" s="259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'[16]Sch C'!D165</f>
        <v>0</v>
      </c>
      <c r="D157" s="273">
        <f>'[16]Sch C'!F165</f>
        <v>0</v>
      </c>
      <c r="E157" s="259">
        <f t="shared" si="38"/>
        <v>0</v>
      </c>
      <c r="F157" s="183"/>
      <c r="G157" s="183">
        <f t="shared" si="40"/>
        <v>0</v>
      </c>
      <c r="H157" s="181">
        <f t="shared" si="41"/>
        <v>0</v>
      </c>
      <c r="J157" s="206"/>
      <c r="K157" s="206"/>
      <c r="M157" s="237">
        <f t="shared" si="39"/>
        <v>0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'[16]Sch C'!D166</f>
        <v>0</v>
      </c>
      <c r="D158" s="273">
        <f>'[16]Sch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'[16]Sch C'!D167</f>
        <v>0</v>
      </c>
      <c r="D159" s="273">
        <f>'[16]Sch C'!F167</f>
        <v>0</v>
      </c>
      <c r="E159" s="259">
        <f t="shared" si="38"/>
        <v>0</v>
      </c>
      <c r="F159" s="183"/>
      <c r="G159" s="183">
        <f t="shared" si="40"/>
        <v>0</v>
      </c>
      <c r="H159" s="181">
        <f t="shared" si="41"/>
        <v>0</v>
      </c>
      <c r="J159" s="206"/>
      <c r="K159" s="206"/>
      <c r="M159" s="237">
        <f t="shared" si="39"/>
        <v>0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'[16]Sch C'!D168</f>
        <v>0</v>
      </c>
      <c r="D160" s="273">
        <f>'[16]Sch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'[16]Sch C'!D169</f>
        <v>0</v>
      </c>
      <c r="D161" s="273">
        <f>'[16]Sch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'[16]Sch C'!D170</f>
        <v>0</v>
      </c>
      <c r="D162" s="273">
        <f>'[16]Sch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'[16]Sch C'!D171</f>
        <v>0</v>
      </c>
      <c r="D163" s="273">
        <f>'[16]Sch C'!F171</f>
        <v>1</v>
      </c>
      <c r="E163" s="259">
        <f t="shared" si="38"/>
        <v>1</v>
      </c>
      <c r="F163" s="183"/>
      <c r="G163" s="183">
        <f t="shared" si="40"/>
        <v>1</v>
      </c>
      <c r="H163" s="181">
        <f t="shared" si="41"/>
        <v>2.1023937224205365E-7</v>
      </c>
      <c r="J163" s="136"/>
      <c r="K163" s="136"/>
      <c r="M163" s="237">
        <f t="shared" si="39"/>
        <v>3.3663233016898941E-5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792619</v>
      </c>
      <c r="D164" s="273">
        <f>SUM(D150:D163)</f>
        <v>12398</v>
      </c>
      <c r="E164" s="183">
        <f>SUM(E150:E163)</f>
        <v>805017</v>
      </c>
      <c r="F164" s="183">
        <f>SUM(F150:F163)</f>
        <v>0</v>
      </c>
      <c r="G164" s="183">
        <f>IF(ISERROR(E164+F164),"",(E164+F164))</f>
        <v>805017</v>
      </c>
      <c r="H164" s="181">
        <f>IF(ISERROR(G164/$G$183),"",(G164/$G$183))</f>
        <v>0.1692462687241813</v>
      </c>
      <c r="J164" s="136"/>
      <c r="K164" s="136"/>
      <c r="M164" s="237">
        <f t="shared" si="39"/>
        <v>27.099474853564935</v>
      </c>
      <c r="N164" s="243">
        <f>SUMMARY!M164</f>
        <v>48.166333206280392</v>
      </c>
      <c r="O164" s="238">
        <f>M164/N164-1</f>
        <v>-0.4373772498415669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'[16]Sch C'!D186</f>
        <v>0</v>
      </c>
      <c r="D167" s="273">
        <f>'[16]Sch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'[16]Sch C'!D187</f>
        <v>0</v>
      </c>
      <c r="D168" s="273">
        <f>'[16]Sch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'[16]Sch C'!D188</f>
        <v>0</v>
      </c>
      <c r="D169" s="273">
        <f>'[16]Sch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'[16]Sch C'!D189</f>
        <v>0</v>
      </c>
      <c r="D170" s="273">
        <f>'[16]Sch C'!F189</f>
        <v>0</v>
      </c>
      <c r="E170" s="259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37">
        <f t="shared" si="43"/>
        <v>0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'[16]Sch C'!D190</f>
        <v>252</v>
      </c>
      <c r="D171" s="273">
        <f>'[16]Sch C'!F190</f>
        <v>0</v>
      </c>
      <c r="E171" s="259">
        <f t="shared" si="42"/>
        <v>252</v>
      </c>
      <c r="F171" s="183"/>
      <c r="G171" s="183">
        <f>IF(ISERROR(E171+F171),"",(E171+F171))</f>
        <v>252</v>
      </c>
      <c r="H171" s="181">
        <f>IF(ISERROR(G171/$G$183),"",(G171/$G$183))</f>
        <v>5.2980321804997517E-5</v>
      </c>
      <c r="I171" s="215"/>
      <c r="J171" s="211"/>
      <c r="K171" s="42"/>
      <c r="M171" s="237">
        <f t="shared" si="43"/>
        <v>8.4831347202585332E-3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'[16]Sch C'!D191</f>
        <v>0</v>
      </c>
      <c r="D172" s="273">
        <f>'[16]Sch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'[16]Sch C'!D192</f>
        <v>0</v>
      </c>
      <c r="D173" s="273">
        <f>'[16]Sch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'[16]Sch C'!D193</f>
        <v>0</v>
      </c>
      <c r="D174" s="273">
        <f>'[16]Sch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'[16]Sch C'!D194</f>
        <v>0</v>
      </c>
      <c r="D175" s="273">
        <f>'[16]Sch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'[16]Sch C'!D195</f>
        <v>0</v>
      </c>
      <c r="D176" s="273">
        <f>'[16]Sch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'[16]Sch C'!D196</f>
        <v>0</v>
      </c>
      <c r="D177" s="273">
        <f>'[16]Sch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'[16]Sch C'!D197</f>
        <v>18425</v>
      </c>
      <c r="D178" s="273">
        <f>'[16]Sch C'!F197</f>
        <v>0</v>
      </c>
      <c r="E178" s="259">
        <f t="shared" si="42"/>
        <v>18425</v>
      </c>
      <c r="F178" s="183"/>
      <c r="G178" s="183">
        <f t="shared" si="44"/>
        <v>18425</v>
      </c>
      <c r="H178" s="181">
        <f t="shared" si="45"/>
        <v>3.8736604335598383E-3</v>
      </c>
      <c r="I178" s="215"/>
      <c r="J178" s="211"/>
      <c r="K178" s="42"/>
      <c r="M178" s="237">
        <f t="shared" si="43"/>
        <v>0.62024506833636306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'[16]Sch C'!D198</f>
        <v>0</v>
      </c>
      <c r="D179" s="273">
        <f>'[16]Sch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'[16]Sch C'!D199</f>
        <v>0</v>
      </c>
      <c r="D180" s="273">
        <f>'[16]Sch C'!F199</f>
        <v>0</v>
      </c>
      <c r="E180" s="259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18677</v>
      </c>
      <c r="D181" s="273">
        <f>SUM(D167:D180)</f>
        <v>0</v>
      </c>
      <c r="E181" s="218">
        <f>SUM(E167:E180)</f>
        <v>18677</v>
      </c>
      <c r="F181" s="218">
        <f>SUM(F167:F180)</f>
        <v>0</v>
      </c>
      <c r="G181" s="183">
        <f t="shared" si="44"/>
        <v>18677</v>
      </c>
      <c r="H181" s="181">
        <f>IF(ISERROR(G181/$G$183),"",(G181/$G$183))</f>
        <v>3.9266407553648361E-3</v>
      </c>
      <c r="I181" s="219"/>
      <c r="J181" s="211"/>
      <c r="K181" s="211"/>
      <c r="M181" s="237">
        <f t="shared" si="43"/>
        <v>0.62872820305662158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5662616</v>
      </c>
      <c r="D183" s="273">
        <f>SUM(D21:D181)/2</f>
        <v>-906133</v>
      </c>
      <c r="E183" s="258">
        <f>SUM(E21:E181)/2</f>
        <v>4756483</v>
      </c>
      <c r="F183" s="179">
        <f>SUM(F21:F181)/2</f>
        <v>0</v>
      </c>
      <c r="G183" s="179">
        <f>SUM(G21:G181)/2</f>
        <v>4756483</v>
      </c>
      <c r="H183" s="181">
        <f>IF(ISERROR(G183/$G$183),"",(G183/$G$183))</f>
        <v>1</v>
      </c>
      <c r="J183" s="261">
        <f>SUM(J21:J181)</f>
        <v>126297</v>
      </c>
      <c r="K183" s="261">
        <f>SUM(K21:K181)</f>
        <v>133591</v>
      </c>
      <c r="M183" s="237">
        <f>IFERROR(G183/G$198,0)</f>
        <v>160.11859556991854</v>
      </c>
      <c r="N183" s="243">
        <f>SUMMARY!M183</f>
        <v>169.52310231129192</v>
      </c>
      <c r="P183" s="178">
        <f>SUM(P57:P181)</f>
        <v>2.1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'[16]Sch C'!D204</f>
        <v>5662616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-163149</v>
      </c>
      <c r="D190" s="273">
        <f>D17-D183</f>
        <v>657531</v>
      </c>
      <c r="E190" s="259">
        <f>E17-E183</f>
        <v>494382</v>
      </c>
      <c r="F190" s="180">
        <f>F17-F183</f>
        <v>0</v>
      </c>
      <c r="G190" s="180">
        <f>G17-G183</f>
        <v>494382</v>
      </c>
      <c r="J190" s="136"/>
      <c r="K190" s="136"/>
      <c r="M190" s="237">
        <f>IFERROR(G190/G$198,0)</f>
        <v>16.642496465360534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4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4">
      <c r="A194" s="42"/>
      <c r="B194" s="116" t="s">
        <v>248</v>
      </c>
      <c r="C194" s="282">
        <f>'[16]Sch D'!C9</f>
        <v>29673</v>
      </c>
      <c r="D194" s="313"/>
      <c r="E194" s="264">
        <f>C194+D194</f>
        <v>29673</v>
      </c>
      <c r="F194" s="224"/>
      <c r="G194" s="225">
        <f>E194+F194</f>
        <v>29673</v>
      </c>
      <c r="H194" s="181">
        <f>IF(ISERROR(G194/$G$198),"",(G194/$G$198))</f>
        <v>0.99888911331044239</v>
      </c>
      <c r="I194" s="43"/>
      <c r="J194" s="136"/>
      <c r="K194" s="136"/>
      <c r="M194" s="237"/>
      <c r="N194" s="243"/>
    </row>
    <row r="195" spans="1:14">
      <c r="A195" s="42"/>
      <c r="B195" s="116" t="s">
        <v>249</v>
      </c>
      <c r="C195" s="282">
        <f>'[16]Sch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  <c r="M195" s="237"/>
      <c r="N195" s="243"/>
    </row>
    <row r="196" spans="1:14">
      <c r="A196" s="42"/>
      <c r="B196" s="116" t="s">
        <v>87</v>
      </c>
      <c r="C196" s="282">
        <f>'[16]Sch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  <c r="M196" s="237"/>
      <c r="N196" s="243"/>
    </row>
    <row r="197" spans="1:14">
      <c r="A197" s="42"/>
      <c r="B197" s="116" t="s">
        <v>342</v>
      </c>
      <c r="C197" s="282">
        <f>'[16]Sch D'!F9</f>
        <v>33</v>
      </c>
      <c r="D197" s="313"/>
      <c r="E197" s="227">
        <f>C197+D197</f>
        <v>33</v>
      </c>
      <c r="F197" s="226"/>
      <c r="G197" s="227">
        <f>E197+F197</f>
        <v>33</v>
      </c>
      <c r="H197" s="181">
        <f>IF(ISERROR(G197/$G$198),"",(G197/$G$198))</f>
        <v>1.110886689557665E-3</v>
      </c>
      <c r="I197" s="43"/>
      <c r="J197" s="136"/>
      <c r="K197" s="136"/>
      <c r="M197" s="237"/>
      <c r="N197" s="243"/>
    </row>
    <row r="198" spans="1:14">
      <c r="A198" s="42"/>
      <c r="B198" s="228" t="s">
        <v>89</v>
      </c>
      <c r="C198" s="282">
        <f>SUM(C194:C197)</f>
        <v>29706</v>
      </c>
      <c r="D198" s="313"/>
      <c r="E198" s="265">
        <f>SUM(E194:E197)</f>
        <v>29706</v>
      </c>
      <c r="F198" s="229">
        <f>SUM(F194:F197)</f>
        <v>0</v>
      </c>
      <c r="G198" s="229">
        <f>SUM(G194:G197)</f>
        <v>29706</v>
      </c>
      <c r="H198" s="181">
        <f>IF(ISERROR(G198/$G$198),"",(G198/$G$198))</f>
        <v>1</v>
      </c>
      <c r="I198" s="43"/>
      <c r="J198" s="136"/>
      <c r="K198" s="136"/>
      <c r="M198" s="237"/>
      <c r="N198" s="243"/>
    </row>
    <row r="199" spans="1:14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4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4">
      <c r="A201" s="42"/>
      <c r="B201" s="118" t="s">
        <v>250</v>
      </c>
      <c r="C201" s="274">
        <f>'[16]Sch D'!G22</f>
        <v>83</v>
      </c>
      <c r="D201" s="312"/>
      <c r="E201" s="264">
        <f>C201+D201</f>
        <v>83</v>
      </c>
      <c r="F201" s="224"/>
      <c r="G201" s="231">
        <f>E201+F201</f>
        <v>83</v>
      </c>
      <c r="H201" s="43"/>
      <c r="I201" s="43"/>
      <c r="J201" s="136"/>
      <c r="K201" s="136"/>
      <c r="M201" s="237"/>
      <c r="N201" s="243"/>
    </row>
    <row r="202" spans="1:14">
      <c r="A202" s="42"/>
      <c r="B202" s="118" t="s">
        <v>310</v>
      </c>
      <c r="C202" s="274">
        <f>'[16]Sch D'!G24</f>
        <v>83</v>
      </c>
      <c r="D202" s="312"/>
      <c r="E202" s="264">
        <f>C202+D202</f>
        <v>83</v>
      </c>
      <c r="F202" s="226"/>
      <c r="G202" s="231">
        <f>E202+F202</f>
        <v>83</v>
      </c>
      <c r="H202" s="43"/>
      <c r="I202" s="43"/>
      <c r="J202" s="136"/>
      <c r="K202" s="136"/>
      <c r="M202" s="237"/>
      <c r="N202" s="243"/>
    </row>
    <row r="203" spans="1:14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  <c r="M203" s="237"/>
      <c r="N203" s="243"/>
    </row>
    <row r="204" spans="1:14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4" ht="26">
      <c r="A205" s="42"/>
      <c r="B205" s="232" t="s">
        <v>329</v>
      </c>
      <c r="C205" s="282">
        <f>'[16]Sch D'!G28</f>
        <v>30378</v>
      </c>
      <c r="D205" s="283"/>
      <c r="E205" s="260">
        <f>E201*E203</f>
        <v>30378</v>
      </c>
      <c r="F205" s="260">
        <f>G201*F203</f>
        <v>0</v>
      </c>
      <c r="G205" s="224">
        <f>G201*G203</f>
        <v>30378</v>
      </c>
      <c r="H205" s="43"/>
      <c r="I205" s="43"/>
      <c r="J205" s="136"/>
      <c r="K205" s="136"/>
      <c r="M205" s="237"/>
      <c r="N205" s="243"/>
    </row>
    <row r="206" spans="1:14" ht="26">
      <c r="A206" s="42"/>
      <c r="B206" s="232" t="s">
        <v>343</v>
      </c>
      <c r="C206" s="275">
        <f>'[16]Sch D'!G30</f>
        <v>0.9778787280268616</v>
      </c>
      <c r="D206" s="36"/>
      <c r="E206" s="266">
        <f>IFERROR(E198/E205,"0")</f>
        <v>0.9778787280268616</v>
      </c>
      <c r="F206" s="337" t="str">
        <f>IFERROR(F198/F205,"")</f>
        <v/>
      </c>
      <c r="G206" s="233">
        <f>G198/G205</f>
        <v>0.9778787280268616</v>
      </c>
      <c r="H206" s="43"/>
      <c r="I206" s="43"/>
      <c r="J206" s="136"/>
      <c r="K206" s="136"/>
      <c r="M206" s="237"/>
      <c r="N206" s="243"/>
    </row>
    <row r="207" spans="1:14" ht="26">
      <c r="A207" s="42"/>
      <c r="B207" s="232" t="s">
        <v>344</v>
      </c>
      <c r="C207" s="275">
        <f>'[16]Sch D'!G32</f>
        <v>0.97679241556389496</v>
      </c>
      <c r="D207" s="36"/>
      <c r="E207" s="266">
        <f>IFERROR((E194+E195)/E205,"0")</f>
        <v>0.97679241556389496</v>
      </c>
      <c r="F207" s="337" t="str">
        <f>IFERROR(((F194+F195)/F205),"")</f>
        <v/>
      </c>
      <c r="G207" s="233">
        <f>(G194+G195)/G205</f>
        <v>0.97679241556389496</v>
      </c>
      <c r="H207" s="43"/>
      <c r="I207" s="43"/>
      <c r="J207" s="136"/>
      <c r="K207" s="136"/>
      <c r="M207" s="237"/>
      <c r="N207" s="243"/>
    </row>
    <row r="208" spans="1:14" ht="26">
      <c r="A208" s="42"/>
      <c r="B208" s="232" t="s">
        <v>330</v>
      </c>
      <c r="C208" s="275">
        <f>'[16]Sch D'!G34</f>
        <v>0.99888911331044228</v>
      </c>
      <c r="D208" s="36"/>
      <c r="E208" s="266">
        <f>IFERROR(E207/E206,"0")</f>
        <v>0.99888911331044228</v>
      </c>
      <c r="F208" s="337" t="str">
        <f>IFERROR(F207/F206,"")</f>
        <v/>
      </c>
      <c r="G208" s="233">
        <f>G207/G206</f>
        <v>0.99888911331044228</v>
      </c>
      <c r="H208" s="43"/>
      <c r="I208" s="43"/>
      <c r="J208" s="136"/>
      <c r="K208" s="136"/>
      <c r="M208" s="237"/>
      <c r="N208" s="243"/>
    </row>
    <row r="209" spans="1:14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  <c r="M209" s="237"/>
      <c r="N209" s="243"/>
    </row>
    <row r="210" spans="1:14">
      <c r="B210" s="52" t="s">
        <v>345</v>
      </c>
      <c r="F210" s="51" t="s">
        <v>305</v>
      </c>
      <c r="G210" s="273"/>
      <c r="M210" s="237"/>
      <c r="N210" s="243"/>
    </row>
    <row r="211" spans="1:14">
      <c r="F211" s="51" t="s">
        <v>306</v>
      </c>
      <c r="G211" s="273"/>
      <c r="M211" s="237"/>
      <c r="N211" s="243"/>
    </row>
    <row r="212" spans="1:14">
      <c r="F212" s="51" t="s">
        <v>307</v>
      </c>
      <c r="G212" s="273"/>
      <c r="M212" s="237"/>
      <c r="N212" s="243"/>
    </row>
    <row r="213" spans="1:14">
      <c r="F213" s="51" t="s">
        <v>308</v>
      </c>
      <c r="G213" s="273"/>
      <c r="M213" s="237"/>
      <c r="N213" s="243"/>
    </row>
  </sheetData>
  <phoneticPr fontId="0" type="noConversion"/>
  <conditionalFormatting sqref="D2">
    <cfRule type="cellIs" dxfId="3" priority="4" stopIfTrue="1" operator="equal">
      <formula>0</formula>
    </cfRule>
  </conditionalFormatting>
  <conditionalFormatting sqref="D2">
    <cfRule type="cellIs" dxfId="2" priority="3" stopIfTrue="1" operator="equal">
      <formula>0</formula>
    </cfRule>
  </conditionalFormatting>
  <conditionalFormatting sqref="C2">
    <cfRule type="cellIs" dxfId="1" priority="2" stopIfTrue="1" operator="equal">
      <formula>0</formula>
    </cfRule>
  </conditionalFormatting>
  <conditionalFormatting sqref="C2">
    <cfRule type="cellIs" dxfId="0" priority="1" stopIfTrue="1" operator="equal">
      <formula>0</formula>
    </cfRule>
  </conditionalFormatting>
  <printOptions horizontalCentered="1" gridLinesSet="0"/>
  <pageMargins left="0.25" right="0.25" top="0.25" bottom="0.75" header="0.5" footer="0.5"/>
  <pageSetup scale="37" fitToHeight="2" orientation="landscape" horizontalDpi="4294967292" verticalDpi="300" r:id="rId1"/>
  <headerFooter alignWithMargins="0"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indexed="41"/>
  </sheetPr>
  <dimension ref="A1:AB223"/>
  <sheetViews>
    <sheetView showGridLines="0" tabSelected="1" zoomScaleNormal="100" zoomScaleSheetLayoutView="100" workbookViewId="0">
      <selection activeCell="G2" sqref="G2"/>
    </sheetView>
  </sheetViews>
  <sheetFormatPr defaultColWidth="9.296875" defaultRowHeight="13"/>
  <cols>
    <col min="1" max="1" width="14.09765625" style="61" customWidth="1"/>
    <col min="2" max="2" width="57.296875" style="21" customWidth="1"/>
    <col min="3" max="3" width="21.3984375" style="21" customWidth="1"/>
    <col min="4" max="4" width="12" style="21" customWidth="1"/>
    <col min="5" max="5" width="13.796875" style="21" bestFit="1" customWidth="1"/>
    <col min="6" max="6" width="14.09765625" style="21" customWidth="1"/>
    <col min="7" max="7" width="19.09765625" style="21" customWidth="1"/>
    <col min="8" max="8" width="15.69921875" style="121" customWidth="1"/>
    <col min="9" max="9" width="13.3984375" style="121" customWidth="1"/>
    <col min="10" max="10" width="3.69921875" style="68" customWidth="1"/>
    <col min="11" max="11" width="25" style="21" bestFit="1" customWidth="1"/>
    <col min="12" max="12" width="3" style="21" customWidth="1"/>
    <col min="13" max="13" width="21.69921875" style="21" customWidth="1"/>
    <col min="14" max="14" width="5.09765625" style="21" customWidth="1"/>
    <col min="15" max="15" width="16" style="21" customWidth="1"/>
    <col min="16" max="16384" width="9.296875" style="21"/>
  </cols>
  <sheetData>
    <row r="1" spans="1:20" ht="30.5">
      <c r="A1" s="129" t="s">
        <v>387</v>
      </c>
      <c r="B1" s="58"/>
      <c r="C1" s="150" t="s">
        <v>386</v>
      </c>
      <c r="D1" s="150"/>
      <c r="E1" s="150"/>
      <c r="F1" s="150"/>
      <c r="G1" s="150"/>
      <c r="H1" s="150"/>
      <c r="I1" s="150"/>
      <c r="J1" s="150"/>
    </row>
    <row r="2" spans="1:20">
      <c r="B2" s="21" t="s">
        <v>0</v>
      </c>
      <c r="C2" s="62">
        <v>42186</v>
      </c>
      <c r="D2" s="148"/>
      <c r="E2" s="63"/>
      <c r="F2" s="59"/>
      <c r="G2" s="59"/>
      <c r="J2" s="60"/>
    </row>
    <row r="3" spans="1:20">
      <c r="B3" s="7" t="s">
        <v>1</v>
      </c>
      <c r="C3" s="62">
        <v>42551</v>
      </c>
      <c r="D3" s="149"/>
      <c r="E3" s="59"/>
      <c r="F3" s="59"/>
      <c r="G3" s="59"/>
      <c r="J3" s="60"/>
    </row>
    <row r="4" spans="1:20">
      <c r="B4" s="7"/>
      <c r="C4" s="64"/>
      <c r="D4" s="59"/>
      <c r="E4" s="59"/>
      <c r="F4" s="59"/>
      <c r="G4" s="59"/>
      <c r="J4" s="60"/>
    </row>
    <row r="5" spans="1:20">
      <c r="B5" s="7"/>
      <c r="C5" s="65" t="s">
        <v>2</v>
      </c>
      <c r="D5" s="66" t="s">
        <v>3</v>
      </c>
      <c r="E5" s="66" t="s">
        <v>4</v>
      </c>
      <c r="F5" s="66" t="s">
        <v>5</v>
      </c>
      <c r="G5" s="66" t="s">
        <v>6</v>
      </c>
      <c r="H5" s="122" t="s">
        <v>9</v>
      </c>
      <c r="I5" s="122" t="s">
        <v>9</v>
      </c>
      <c r="J5" s="67"/>
      <c r="K5" s="66" t="s">
        <v>7</v>
      </c>
      <c r="M5" s="66" t="s">
        <v>8</v>
      </c>
      <c r="N5" s="67"/>
      <c r="O5" s="67"/>
      <c r="P5" s="68"/>
    </row>
    <row r="6" spans="1:20" ht="30" customHeight="1">
      <c r="A6" s="63"/>
      <c r="B6" s="7"/>
      <c r="C6" s="69" t="s">
        <v>10</v>
      </c>
      <c r="D6" s="69" t="s">
        <v>11</v>
      </c>
      <c r="E6" s="69" t="s">
        <v>12</v>
      </c>
      <c r="F6" s="69" t="s">
        <v>13</v>
      </c>
      <c r="G6" s="69" t="s">
        <v>14</v>
      </c>
      <c r="H6" s="131" t="s">
        <v>259</v>
      </c>
      <c r="I6" s="131" t="s">
        <v>260</v>
      </c>
      <c r="J6" s="21"/>
      <c r="K6" s="70" t="s">
        <v>15</v>
      </c>
      <c r="M6" s="71" t="s">
        <v>253</v>
      </c>
      <c r="N6" s="72"/>
      <c r="O6" s="11"/>
      <c r="P6" s="68"/>
      <c r="Q6" s="72"/>
      <c r="R6" s="68"/>
      <c r="S6" s="72"/>
      <c r="T6" s="68"/>
    </row>
    <row r="7" spans="1:20" ht="26">
      <c r="A7" s="63"/>
      <c r="B7" s="73"/>
      <c r="C7" s="74"/>
      <c r="D7" s="74"/>
      <c r="E7" s="74" t="s">
        <v>16</v>
      </c>
      <c r="F7" s="74"/>
      <c r="G7" s="74" t="s">
        <v>17</v>
      </c>
      <c r="H7" s="132"/>
      <c r="I7" s="132"/>
      <c r="J7" s="21"/>
      <c r="K7" s="75" t="s">
        <v>18</v>
      </c>
      <c r="M7" s="135" t="s">
        <v>359</v>
      </c>
      <c r="N7" s="72"/>
      <c r="O7" s="72"/>
      <c r="Q7" s="72"/>
      <c r="R7" s="68"/>
      <c r="S7" s="11"/>
      <c r="T7" s="68"/>
    </row>
    <row r="8" spans="1:20">
      <c r="A8" s="76"/>
      <c r="C8" s="77"/>
      <c r="D8" s="78"/>
      <c r="F8" s="78"/>
      <c r="G8" s="79"/>
      <c r="H8" s="133"/>
      <c r="I8" s="133"/>
      <c r="J8" s="21"/>
      <c r="K8" s="80"/>
      <c r="M8" s="134"/>
      <c r="N8" s="72"/>
      <c r="O8" s="72"/>
      <c r="Q8" s="72"/>
      <c r="R8" s="68"/>
      <c r="S8" s="72"/>
      <c r="T8" s="68"/>
    </row>
    <row r="9" spans="1:20" ht="15.5">
      <c r="A9" s="21"/>
      <c r="C9" s="1"/>
      <c r="D9" s="1"/>
      <c r="E9" s="1"/>
      <c r="F9" s="1"/>
      <c r="G9" s="1"/>
      <c r="H9" s="123"/>
      <c r="I9" s="123"/>
      <c r="J9" s="9"/>
      <c r="M9" s="81"/>
    </row>
    <row r="10" spans="1:20" ht="15.5">
      <c r="A10" s="63"/>
      <c r="C10" s="1"/>
      <c r="D10" s="1"/>
      <c r="E10" s="1"/>
      <c r="F10" s="1"/>
      <c r="G10" s="1"/>
      <c r="H10" s="123"/>
      <c r="I10" s="123"/>
      <c r="J10" s="9"/>
      <c r="K10" s="63" t="s">
        <v>251</v>
      </c>
      <c r="M10" s="81"/>
    </row>
    <row r="11" spans="1:20">
      <c r="A11" s="63" t="s">
        <v>161</v>
      </c>
      <c r="B11" s="58" t="s">
        <v>156</v>
      </c>
      <c r="C11" s="1"/>
      <c r="D11" s="1"/>
      <c r="E11" s="1"/>
      <c r="F11" s="1"/>
      <c r="G11" s="1"/>
      <c r="H11" s="124"/>
      <c r="I11" s="124"/>
      <c r="J11" s="9"/>
      <c r="K11" s="63" t="s">
        <v>252</v>
      </c>
      <c r="M11" s="81"/>
    </row>
    <row r="12" spans="1:20">
      <c r="A12" s="82" t="s">
        <v>62</v>
      </c>
      <c r="B12" s="116" t="s">
        <v>191</v>
      </c>
      <c r="C12" s="55">
        <f>SUM('BUNGALOW:WIDEHORIZONS, TM'!C12)</f>
        <v>30028456.379999999</v>
      </c>
      <c r="D12" s="55">
        <f>SUM('BUNGALOW:WIDEHORIZONS, TM'!D12)</f>
        <v>3199</v>
      </c>
      <c r="E12" s="54">
        <f>SUM('BUNGALOW:WIDEHORIZONS, TM'!E12)</f>
        <v>30031655.379999999</v>
      </c>
      <c r="F12" s="55">
        <f>SUM('BUNGALOW:WIDEHORIZONS, TM'!F12)</f>
        <v>7962647</v>
      </c>
      <c r="G12" s="245">
        <f>SUM('BUNGALOW:WIDEHORIZONS, TM'!G12)</f>
        <v>37994302.380000003</v>
      </c>
      <c r="H12" s="246" t="s">
        <v>346</v>
      </c>
      <c r="I12" s="247">
        <f>G17</f>
        <v>38553179.740000002</v>
      </c>
      <c r="J12" s="8"/>
      <c r="K12" s="109">
        <f t="shared" ref="K12:K17" si="0">G12/$G$17</f>
        <v>0.98550372851813961</v>
      </c>
      <c r="M12" s="114">
        <f>IFERROR(G12/G194,0)</f>
        <v>175.72544969335937</v>
      </c>
    </row>
    <row r="13" spans="1:20">
      <c r="A13" s="82" t="s">
        <v>64</v>
      </c>
      <c r="B13" s="116" t="s">
        <v>192</v>
      </c>
      <c r="C13" s="55">
        <f>SUM('BUNGALOW:WIDEHORIZONS, TM'!C13)</f>
        <v>76052</v>
      </c>
      <c r="D13" s="55">
        <f>SUM('BUNGALOW:WIDEHORIZONS, TM'!D13)</f>
        <v>0</v>
      </c>
      <c r="E13" s="54">
        <f>SUM('BUNGALOW:WIDEHORIZONS, TM'!E13)</f>
        <v>76052</v>
      </c>
      <c r="F13" s="55">
        <f>SUM('BUNGALOW:WIDEHORIZONS, TM'!F13)</f>
        <v>222121</v>
      </c>
      <c r="G13" s="245">
        <f>SUM('BUNGALOW:WIDEHORIZONS, TM'!G13)</f>
        <v>298173</v>
      </c>
      <c r="H13" s="248" t="s">
        <v>347</v>
      </c>
      <c r="I13" s="249">
        <f>G183</f>
        <v>36914842.189999998</v>
      </c>
      <c r="J13" s="8"/>
      <c r="K13" s="109">
        <f t="shared" si="0"/>
        <v>7.7340702378080935E-3</v>
      </c>
      <c r="M13" s="114">
        <f>IFERROR(G13/G195,0)</f>
        <v>205.77846790890268</v>
      </c>
    </row>
    <row r="14" spans="1:20">
      <c r="A14" s="82" t="s">
        <v>66</v>
      </c>
      <c r="B14" s="116" t="s">
        <v>193</v>
      </c>
      <c r="C14" s="55">
        <f>SUM('BUNGALOW:WIDEHORIZONS, TM'!C14)</f>
        <v>11157</v>
      </c>
      <c r="D14" s="55">
        <f>SUM('BUNGALOW:WIDEHORIZONS, TM'!D14)</f>
        <v>0</v>
      </c>
      <c r="E14" s="54">
        <f>SUM('BUNGALOW:WIDEHORIZONS, TM'!E14)</f>
        <v>11157</v>
      </c>
      <c r="F14" s="55">
        <f>SUM('BUNGALOW:WIDEHORIZONS, TM'!F14)</f>
        <v>0</v>
      </c>
      <c r="G14" s="245">
        <f>SUM('BUNGALOW:WIDEHORIZONS, TM'!G14)</f>
        <v>11157</v>
      </c>
      <c r="H14" s="248" t="s">
        <v>348</v>
      </c>
      <c r="I14" s="249">
        <f>G198</f>
        <v>217757</v>
      </c>
      <c r="J14" s="8"/>
      <c r="K14" s="109">
        <f t="shared" si="0"/>
        <v>2.893924723003924E-4</v>
      </c>
      <c r="M14" s="114">
        <f>IFERROR(G14/G196,0)</f>
        <v>182.90163934426229</v>
      </c>
    </row>
    <row r="15" spans="1:20">
      <c r="A15" s="82" t="s">
        <v>68</v>
      </c>
      <c r="B15" s="117" t="s">
        <v>194</v>
      </c>
      <c r="C15" s="55">
        <f>SUM('BUNGALOW:WIDEHORIZONS, TM'!C15)</f>
        <v>5831</v>
      </c>
      <c r="D15" s="55">
        <f>SUM('BUNGALOW:WIDEHORIZONS, TM'!D15)</f>
        <v>0</v>
      </c>
      <c r="E15" s="54">
        <f>SUM('BUNGALOW:WIDEHORIZONS, TM'!E15)</f>
        <v>5831</v>
      </c>
      <c r="F15" s="55">
        <f>SUM('BUNGALOW:WIDEHORIZONS, TM'!F15)</f>
        <v>0</v>
      </c>
      <c r="G15" s="245">
        <f>SUM('BUNGALOW:WIDEHORIZONS, TM'!G15)</f>
        <v>5831</v>
      </c>
      <c r="H15" s="248" t="s">
        <v>349</v>
      </c>
      <c r="I15" s="249">
        <f>G201</f>
        <v>635</v>
      </c>
      <c r="J15" s="8"/>
      <c r="K15" s="109">
        <f t="shared" si="0"/>
        <v>1.5124563108215362E-4</v>
      </c>
      <c r="M15" s="114">
        <f>IFERROR(G15/G197,0)</f>
        <v>176.69696969696969</v>
      </c>
    </row>
    <row r="16" spans="1:20">
      <c r="A16" s="82" t="s">
        <v>145</v>
      </c>
      <c r="B16" s="118" t="s">
        <v>195</v>
      </c>
      <c r="C16" s="55">
        <f>SUM('BUNGALOW:WIDEHORIZONS, TM'!C16)</f>
        <v>414968.66000000003</v>
      </c>
      <c r="D16" s="55">
        <f>SUM('BUNGALOW:WIDEHORIZONS, TM'!D16)</f>
        <v>-251435.3</v>
      </c>
      <c r="E16" s="54">
        <f>SUM('BUNGALOW:WIDEHORIZONS, TM'!E16)</f>
        <v>163533.36000000002</v>
      </c>
      <c r="F16" s="55">
        <f>SUM('BUNGALOW:WIDEHORIZONS, TM'!F16)</f>
        <v>80183</v>
      </c>
      <c r="G16" s="245">
        <f>SUM('BUNGALOW:WIDEHORIZONS, TM'!G16)</f>
        <v>243716.36000000002</v>
      </c>
      <c r="H16" s="248" t="s">
        <v>350</v>
      </c>
      <c r="I16" s="249">
        <f>G205</f>
        <v>232410</v>
      </c>
      <c r="J16" s="8"/>
      <c r="K16" s="109">
        <f t="shared" si="0"/>
        <v>6.3215631406697559E-3</v>
      </c>
      <c r="M16" s="114" t="s">
        <v>196</v>
      </c>
      <c r="P16" s="68"/>
    </row>
    <row r="17" spans="1:20" ht="23.25" customHeight="1">
      <c r="A17" s="82"/>
      <c r="B17" s="119" t="s">
        <v>314</v>
      </c>
      <c r="C17" s="54">
        <f>SUM(C12:C16)</f>
        <v>30536465.039999999</v>
      </c>
      <c r="D17" s="54">
        <f>SUM(D12:D16)</f>
        <v>-248236.3</v>
      </c>
      <c r="E17" s="54">
        <f>SUM(E12:E16)</f>
        <v>30288228.739999998</v>
      </c>
      <c r="F17" s="54">
        <f>SUM(F12:F16)</f>
        <v>8264951</v>
      </c>
      <c r="G17" s="245">
        <f>SUM(G12:G16)</f>
        <v>38553179.740000002</v>
      </c>
      <c r="H17" s="248"/>
      <c r="I17" s="249"/>
      <c r="J17" s="8"/>
      <c r="K17" s="109">
        <f t="shared" si="0"/>
        <v>1</v>
      </c>
      <c r="M17" s="114">
        <f>IFERROR(G17/G198,0)</f>
        <v>177.04679867926177</v>
      </c>
      <c r="O17" s="72"/>
      <c r="P17" s="68"/>
    </row>
    <row r="18" spans="1:20">
      <c r="A18" s="76"/>
      <c r="B18" s="84"/>
      <c r="C18" s="41"/>
      <c r="D18" s="41"/>
      <c r="E18" s="41"/>
      <c r="F18" s="41"/>
      <c r="G18" s="41"/>
      <c r="H18" s="248" t="s">
        <v>188</v>
      </c>
      <c r="I18" s="249">
        <f>H183</f>
        <v>1238127.6499999997</v>
      </c>
      <c r="J18" s="21"/>
      <c r="K18" s="80"/>
      <c r="M18" s="14"/>
      <c r="N18" s="72"/>
      <c r="O18" s="72"/>
      <c r="P18" s="68"/>
      <c r="Q18" s="72"/>
      <c r="R18" s="68"/>
      <c r="S18" s="72"/>
      <c r="T18" s="68"/>
    </row>
    <row r="19" spans="1:20" ht="26">
      <c r="A19" s="85" t="s">
        <v>158</v>
      </c>
      <c r="B19" s="58" t="s">
        <v>157</v>
      </c>
      <c r="C19" s="77"/>
      <c r="D19" s="78"/>
      <c r="F19" s="78"/>
      <c r="G19" s="79"/>
      <c r="H19" s="250" t="s">
        <v>309</v>
      </c>
      <c r="I19" s="251">
        <f>I183</f>
        <v>1295512.7666666664</v>
      </c>
      <c r="J19" s="21"/>
      <c r="K19" s="63" t="s">
        <v>254</v>
      </c>
      <c r="M19" s="14"/>
      <c r="N19" s="72"/>
      <c r="O19" s="68"/>
      <c r="Q19" s="72"/>
      <c r="R19" s="68"/>
      <c r="S19" s="72"/>
      <c r="T19" s="68"/>
    </row>
    <row r="20" spans="1:20">
      <c r="A20" s="86" t="s">
        <v>109</v>
      </c>
      <c r="B20" s="7" t="s">
        <v>19</v>
      </c>
      <c r="C20" s="56"/>
      <c r="D20" s="1"/>
      <c r="E20" s="1"/>
      <c r="F20" s="1"/>
      <c r="G20" s="1"/>
      <c r="H20" s="124"/>
      <c r="I20" s="124"/>
      <c r="J20" s="9"/>
      <c r="K20" s="63" t="s">
        <v>313</v>
      </c>
      <c r="M20" s="68"/>
      <c r="N20" s="68"/>
    </row>
    <row r="21" spans="1:20">
      <c r="A21" s="86" t="s">
        <v>110</v>
      </c>
      <c r="B21" s="2" t="s">
        <v>20</v>
      </c>
      <c r="C21" s="19">
        <f>SUM('BUNGALOW:WIDEHORIZONS, TM'!C21)</f>
        <v>820071.81</v>
      </c>
      <c r="D21" s="19">
        <f>SUM('BUNGALOW:WIDEHORIZONS, TM'!D21)</f>
        <v>66429.009999999995</v>
      </c>
      <c r="E21" s="54">
        <f>SUM('BUNGALOW:WIDEHORIZONS, TM'!E21)</f>
        <v>886500.82000000007</v>
      </c>
      <c r="F21" s="19">
        <f>SUM('BUNGALOW:WIDEHORIZONS, TM'!F21)</f>
        <v>209361</v>
      </c>
      <c r="G21" s="54">
        <f>SUM('BUNGALOW:WIDEHORIZONS, TM'!G21)</f>
        <v>1095861.82</v>
      </c>
      <c r="H21" s="137">
        <f>SUM('BUNGALOW:WIDEHORIZONS, TM'!J21)</f>
        <v>30312.413333333327</v>
      </c>
      <c r="I21" s="137">
        <f>SUM('BUNGALOW:WIDEHORIZONS, TM'!K21)</f>
        <v>31650.746666666662</v>
      </c>
      <c r="J21" s="8"/>
      <c r="K21" s="109">
        <f>G21/$G$183</f>
        <v>2.9686211696629227E-2</v>
      </c>
      <c r="M21" s="110">
        <f>G21/$G$198</f>
        <v>5.0324987026823482</v>
      </c>
    </row>
    <row r="22" spans="1:20">
      <c r="A22" s="86" t="s">
        <v>111</v>
      </c>
      <c r="B22" s="2" t="s">
        <v>21</v>
      </c>
      <c r="C22" s="19">
        <f>SUM('BUNGALOW:WIDEHORIZONS, TM'!C22)</f>
        <v>132539.25</v>
      </c>
      <c r="D22" s="19">
        <f>SUM('BUNGALOW:WIDEHORIZONS, TM'!D22)</f>
        <v>0</v>
      </c>
      <c r="E22" s="54">
        <f>SUM('BUNGALOW:WIDEHORIZONS, TM'!E22)</f>
        <v>132539.25</v>
      </c>
      <c r="F22" s="19">
        <f>SUM('BUNGALOW:WIDEHORIZONS, TM'!F22)</f>
        <v>0</v>
      </c>
      <c r="G22" s="54">
        <f>SUM('BUNGALOW:WIDEHORIZONS, TM'!G22)</f>
        <v>132539.25</v>
      </c>
      <c r="H22" s="137">
        <f>SUM('BUNGALOW:WIDEHORIZONS, TM'!J22)</f>
        <v>3364</v>
      </c>
      <c r="I22" s="137">
        <f>SUM('BUNGALOW:WIDEHORIZONS, TM'!K22)</f>
        <v>3380</v>
      </c>
      <c r="J22" s="8"/>
      <c r="K22" s="109">
        <f t="shared" ref="K22:K57" si="1">G22/$G$183</f>
        <v>3.5904054341563477E-3</v>
      </c>
      <c r="M22" s="110">
        <f>G22/$G$198</f>
        <v>0.60865666775350502</v>
      </c>
    </row>
    <row r="23" spans="1:20">
      <c r="A23" s="86" t="s">
        <v>112</v>
      </c>
      <c r="B23" s="2" t="s">
        <v>22</v>
      </c>
      <c r="C23" s="19">
        <f>SUM('BUNGALOW:WIDEHORIZONS, TM'!C23)</f>
        <v>511888.57</v>
      </c>
      <c r="D23" s="19">
        <f>SUM('BUNGALOW:WIDEHORIZONS, TM'!D23)</f>
        <v>72755.360000000001</v>
      </c>
      <c r="E23" s="54">
        <f>SUM('BUNGALOW:WIDEHORIZONS, TM'!E23)</f>
        <v>584643.92999999993</v>
      </c>
      <c r="F23" s="19">
        <f>SUM('BUNGALOW:WIDEHORIZONS, TM'!F23)</f>
        <v>124989</v>
      </c>
      <c r="G23" s="54">
        <f>SUM('BUNGALOW:WIDEHORIZONS, TM'!G23)</f>
        <v>709632.93</v>
      </c>
      <c r="H23" s="137">
        <f>SUM('BUNGALOW:WIDEHORIZONS, TM'!J23)</f>
        <v>42029.05</v>
      </c>
      <c r="I23" s="137">
        <f>SUM('BUNGALOW:WIDEHORIZONS, TM'!K23)</f>
        <v>44505.146666666667</v>
      </c>
      <c r="J23" s="8"/>
      <c r="K23" s="109">
        <f t="shared" si="1"/>
        <v>1.922351249255063E-2</v>
      </c>
      <c r="M23" s="110">
        <f>G23/$G$198</f>
        <v>3.2588294750570594</v>
      </c>
    </row>
    <row r="24" spans="1:20">
      <c r="A24" s="86" t="s">
        <v>113</v>
      </c>
      <c r="B24" s="2" t="s">
        <v>23</v>
      </c>
      <c r="C24" s="19">
        <f>SUM('BUNGALOW:WIDEHORIZONS, TM'!C24)</f>
        <v>1733175.42</v>
      </c>
      <c r="D24" s="19">
        <f>SUM('BUNGALOW:WIDEHORIZONS, TM'!D24)</f>
        <v>-1279923.97</v>
      </c>
      <c r="E24" s="54">
        <f>SUM('BUNGALOW:WIDEHORIZONS, TM'!E24)</f>
        <v>453251.45</v>
      </c>
      <c r="F24" s="19">
        <f>SUM('BUNGALOW:WIDEHORIZONS, TM'!F24)</f>
        <v>50039</v>
      </c>
      <c r="G24" s="54">
        <f>SUM('BUNGALOW:WIDEHORIZONS, TM'!G24)</f>
        <v>503290.45</v>
      </c>
      <c r="H24" s="126"/>
      <c r="I24" s="126"/>
      <c r="J24" s="8"/>
      <c r="K24" s="109">
        <f t="shared" si="1"/>
        <v>1.3633823691012237E-2</v>
      </c>
      <c r="M24" s="110">
        <f t="shared" ref="M24:M43" si="2">G24/$G$198</f>
        <v>2.3112480884655833</v>
      </c>
    </row>
    <row r="25" spans="1:20">
      <c r="A25" s="86" t="s">
        <v>164</v>
      </c>
      <c r="B25" s="2" t="s">
        <v>163</v>
      </c>
      <c r="C25" s="19">
        <f>SUM('BUNGALOW:WIDEHORIZONS, TM'!C25)</f>
        <v>21292</v>
      </c>
      <c r="D25" s="19">
        <f>SUM('BUNGALOW:WIDEHORIZONS, TM'!D25)</f>
        <v>0</v>
      </c>
      <c r="E25" s="54">
        <f>SUM('BUNGALOW:WIDEHORIZONS, TM'!E25)</f>
        <v>21292</v>
      </c>
      <c r="F25" s="19">
        <f>SUM('BUNGALOW:WIDEHORIZONS, TM'!F25)</f>
        <v>0</v>
      </c>
      <c r="G25" s="54">
        <f>SUM('BUNGALOW:WIDEHORIZONS, TM'!G25)</f>
        <v>21292</v>
      </c>
      <c r="H25" s="126"/>
      <c r="I25" s="126"/>
      <c r="J25" s="8"/>
      <c r="K25" s="109">
        <f t="shared" si="1"/>
        <v>5.7678697068269929E-4</v>
      </c>
      <c r="M25" s="110">
        <f t="shared" si="2"/>
        <v>9.7778716642863375E-2</v>
      </c>
    </row>
    <row r="26" spans="1:20">
      <c r="A26" s="86" t="s">
        <v>114</v>
      </c>
      <c r="B26" s="2" t="s">
        <v>24</v>
      </c>
      <c r="C26" s="19">
        <f>SUM('BUNGALOW:WIDEHORIZONS, TM'!C26)</f>
        <v>459834</v>
      </c>
      <c r="D26" s="19">
        <f>SUM('BUNGALOW:WIDEHORIZONS, TM'!D26)</f>
        <v>-208988</v>
      </c>
      <c r="E26" s="54">
        <f>SUM('BUNGALOW:WIDEHORIZONS, TM'!E26)</f>
        <v>250846</v>
      </c>
      <c r="F26" s="19">
        <f>SUM('BUNGALOW:WIDEHORIZONS, TM'!F26)</f>
        <v>513765</v>
      </c>
      <c r="G26" s="54">
        <f>SUM('BUNGALOW:WIDEHORIZONS, TM'!G26)</f>
        <v>764611</v>
      </c>
      <c r="H26" s="126"/>
      <c r="I26" s="126"/>
      <c r="J26" s="8"/>
      <c r="K26" s="109">
        <f t="shared" si="1"/>
        <v>2.0712834042864427E-2</v>
      </c>
      <c r="M26" s="110">
        <f t="shared" si="2"/>
        <v>3.5113038846053168</v>
      </c>
    </row>
    <row r="27" spans="1:20">
      <c r="A27" s="86" t="s">
        <v>115</v>
      </c>
      <c r="B27" s="2" t="s">
        <v>165</v>
      </c>
      <c r="C27" s="19">
        <f>SUM('BUNGALOW:WIDEHORIZONS, TM'!C27)</f>
        <v>1948088</v>
      </c>
      <c r="D27" s="19">
        <f>SUM('BUNGALOW:WIDEHORIZONS, TM'!D27)</f>
        <v>-445633.59</v>
      </c>
      <c r="E27" s="54">
        <f>SUM('BUNGALOW:WIDEHORIZONS, TM'!E27)</f>
        <v>1502454.41</v>
      </c>
      <c r="F27" s="19">
        <f>SUM('BUNGALOW:WIDEHORIZONS, TM'!F27)</f>
        <v>499986</v>
      </c>
      <c r="G27" s="54">
        <f>SUM('BUNGALOW:WIDEHORIZONS, TM'!G27)</f>
        <v>2002440.41</v>
      </c>
      <c r="H27" s="138"/>
      <c r="I27" s="138"/>
      <c r="J27" s="8"/>
      <c r="K27" s="109">
        <f t="shared" si="1"/>
        <v>5.4244859010732782E-2</v>
      </c>
      <c r="M27" s="110">
        <f t="shared" si="2"/>
        <v>9.1957567839380587</v>
      </c>
    </row>
    <row r="28" spans="1:20">
      <c r="A28" s="86" t="s">
        <v>116</v>
      </c>
      <c r="B28" s="2" t="s">
        <v>25</v>
      </c>
      <c r="C28" s="19">
        <f>SUM('BUNGALOW:WIDEHORIZONS, TM'!C28)</f>
        <v>8756</v>
      </c>
      <c r="D28" s="19">
        <f>SUM('BUNGALOW:WIDEHORIZONS, TM'!D28)</f>
        <v>207</v>
      </c>
      <c r="E28" s="54">
        <f>SUM('BUNGALOW:WIDEHORIZONS, TM'!E28)</f>
        <v>8963</v>
      </c>
      <c r="F28" s="19">
        <f>SUM('BUNGALOW:WIDEHORIZONS, TM'!F28)</f>
        <v>2994</v>
      </c>
      <c r="G28" s="54">
        <f>SUM('BUNGALOW:WIDEHORIZONS, TM'!G28)</f>
        <v>11957</v>
      </c>
      <c r="H28" s="138"/>
      <c r="I28" s="138"/>
      <c r="J28" s="8"/>
      <c r="K28" s="109">
        <f t="shared" si="1"/>
        <v>3.2390765585445404E-4</v>
      </c>
      <c r="M28" s="110">
        <f t="shared" si="2"/>
        <v>5.4909830682825352E-2</v>
      </c>
    </row>
    <row r="29" spans="1:20">
      <c r="A29" s="86" t="s">
        <v>117</v>
      </c>
      <c r="B29" s="2" t="s">
        <v>26</v>
      </c>
      <c r="C29" s="19">
        <f>SUM('BUNGALOW:WIDEHORIZONS, TM'!C29)</f>
        <v>103093.98999999999</v>
      </c>
      <c r="D29" s="19">
        <f>SUM('BUNGALOW:WIDEHORIZONS, TM'!D29)</f>
        <v>12608</v>
      </c>
      <c r="E29" s="54">
        <f>SUM('BUNGALOW:WIDEHORIZONS, TM'!E29)</f>
        <v>115701.98999999999</v>
      </c>
      <c r="F29" s="19">
        <f>SUM('BUNGALOW:WIDEHORIZONS, TM'!F29)</f>
        <v>42915</v>
      </c>
      <c r="G29" s="54">
        <f>SUM('BUNGALOW:WIDEHORIZONS, TM'!G29)</f>
        <v>158616.99</v>
      </c>
      <c r="H29" s="138"/>
      <c r="I29" s="138"/>
      <c r="J29" s="8"/>
      <c r="K29" s="109">
        <f t="shared" si="1"/>
        <v>4.2968351099430778E-3</v>
      </c>
      <c r="M29" s="110">
        <f t="shared" si="2"/>
        <v>0.72841281795763158</v>
      </c>
    </row>
    <row r="30" spans="1:20">
      <c r="A30" s="86" t="s">
        <v>118</v>
      </c>
      <c r="B30" s="2" t="s">
        <v>27</v>
      </c>
      <c r="C30" s="19">
        <f>SUM('BUNGALOW:WIDEHORIZONS, TM'!C30)</f>
        <v>67940.800000000003</v>
      </c>
      <c r="D30" s="19">
        <f>SUM('BUNGALOW:WIDEHORIZONS, TM'!D30)</f>
        <v>701</v>
      </c>
      <c r="E30" s="54">
        <f>SUM('BUNGALOW:WIDEHORIZONS, TM'!E30)</f>
        <v>68641.8</v>
      </c>
      <c r="F30" s="19">
        <f>SUM('BUNGALOW:WIDEHORIZONS, TM'!F30)</f>
        <v>28604</v>
      </c>
      <c r="G30" s="54">
        <f>SUM('BUNGALOW:WIDEHORIZONS, TM'!G30)</f>
        <v>97245.8</v>
      </c>
      <c r="H30" s="138"/>
      <c r="I30" s="138"/>
      <c r="J30" s="8"/>
      <c r="K30" s="109">
        <f t="shared" si="1"/>
        <v>2.6343279350749408E-3</v>
      </c>
      <c r="M30" s="110">
        <f t="shared" si="2"/>
        <v>0.44657944405920363</v>
      </c>
    </row>
    <row r="31" spans="1:20">
      <c r="A31" s="86" t="s">
        <v>119</v>
      </c>
      <c r="B31" s="2" t="s">
        <v>28</v>
      </c>
      <c r="C31" s="19">
        <f>SUM('BUNGALOW:WIDEHORIZONS, TM'!C31)</f>
        <v>85691</v>
      </c>
      <c r="D31" s="19">
        <f>SUM('BUNGALOW:WIDEHORIZONS, TM'!D31)</f>
        <v>-3398.2199999999993</v>
      </c>
      <c r="E31" s="54">
        <f>SUM('BUNGALOW:WIDEHORIZONS, TM'!E31)</f>
        <v>82292.780000000013</v>
      </c>
      <c r="F31" s="19">
        <f>SUM('BUNGALOW:WIDEHORIZONS, TM'!F31)</f>
        <v>3506</v>
      </c>
      <c r="G31" s="54">
        <f>SUM('BUNGALOW:WIDEHORIZONS, TM'!G31)</f>
        <v>85798.780000000013</v>
      </c>
      <c r="H31" s="138"/>
      <c r="I31" s="138"/>
      <c r="J31" s="8"/>
      <c r="K31" s="109">
        <f t="shared" si="1"/>
        <v>2.3242353186394595E-3</v>
      </c>
      <c r="M31" s="110">
        <f t="shared" si="2"/>
        <v>0.39401158171723533</v>
      </c>
    </row>
    <row r="32" spans="1:20">
      <c r="A32" s="86" t="s">
        <v>120</v>
      </c>
      <c r="B32" s="2" t="s">
        <v>29</v>
      </c>
      <c r="C32" s="19">
        <f>SUM('BUNGALOW:WIDEHORIZONS, TM'!C32)</f>
        <v>115768</v>
      </c>
      <c r="D32" s="19">
        <f>SUM('BUNGALOW:WIDEHORIZONS, TM'!D32)</f>
        <v>18384</v>
      </c>
      <c r="E32" s="54">
        <f>SUM('BUNGALOW:WIDEHORIZONS, TM'!E32)</f>
        <v>134152</v>
      </c>
      <c r="F32" s="19">
        <f>SUM('BUNGALOW:WIDEHORIZONS, TM'!F32)</f>
        <v>0</v>
      </c>
      <c r="G32" s="54">
        <f>SUM('BUNGALOW:WIDEHORIZONS, TM'!G32)</f>
        <v>134152</v>
      </c>
      <c r="H32" s="138"/>
      <c r="I32" s="138"/>
      <c r="J32" s="8"/>
      <c r="K32" s="109">
        <f t="shared" si="1"/>
        <v>3.6340938235499471E-3</v>
      </c>
      <c r="M32" s="110">
        <f t="shared" si="2"/>
        <v>0.61606285905849179</v>
      </c>
    </row>
    <row r="33" spans="1:13">
      <c r="A33" s="86">
        <v>130</v>
      </c>
      <c r="B33" s="2" t="s">
        <v>166</v>
      </c>
      <c r="C33" s="19">
        <f>SUM('BUNGALOW:WIDEHORIZONS, TM'!C33)</f>
        <v>742</v>
      </c>
      <c r="D33" s="19">
        <f>SUM('BUNGALOW:WIDEHORIZONS, TM'!D33)</f>
        <v>0</v>
      </c>
      <c r="E33" s="54">
        <f>SUM('BUNGALOW:WIDEHORIZONS, TM'!E33)</f>
        <v>742</v>
      </c>
      <c r="F33" s="19">
        <f>SUM('BUNGALOW:WIDEHORIZONS, TM'!F33)</f>
        <v>0</v>
      </c>
      <c r="G33" s="54">
        <f>SUM('BUNGALOW:WIDEHORIZONS, TM'!G33)</f>
        <v>742</v>
      </c>
      <c r="H33" s="138"/>
      <c r="I33" s="138"/>
      <c r="J33" s="8"/>
      <c r="K33" s="109">
        <f t="shared" si="1"/>
        <v>2.0100316186669306E-5</v>
      </c>
      <c r="M33" s="110">
        <f t="shared" si="2"/>
        <v>3.4074679574020582E-3</v>
      </c>
    </row>
    <row r="34" spans="1:13">
      <c r="A34" s="86" t="s">
        <v>121</v>
      </c>
      <c r="B34" s="2" t="s">
        <v>30</v>
      </c>
      <c r="C34" s="19">
        <f>SUM('BUNGALOW:WIDEHORIZONS, TM'!C34)</f>
        <v>64386</v>
      </c>
      <c r="D34" s="19">
        <f>SUM('BUNGALOW:WIDEHORIZONS, TM'!D34)</f>
        <v>19916</v>
      </c>
      <c r="E34" s="54">
        <f>SUM('BUNGALOW:WIDEHORIZONS, TM'!E34)</f>
        <v>84302</v>
      </c>
      <c r="F34" s="19">
        <f>SUM('BUNGALOW:WIDEHORIZONS, TM'!F34)</f>
        <v>36208</v>
      </c>
      <c r="G34" s="54">
        <f>SUM('BUNGALOW:WIDEHORIZONS, TM'!G34)</f>
        <v>120510</v>
      </c>
      <c r="H34" s="138"/>
      <c r="I34" s="138"/>
      <c r="J34" s="8"/>
      <c r="K34" s="109">
        <f t="shared" si="1"/>
        <v>3.2645405709643104E-3</v>
      </c>
      <c r="M34" s="110">
        <f t="shared" si="2"/>
        <v>0.5534150452109462</v>
      </c>
    </row>
    <row r="35" spans="1:13">
      <c r="A35" s="86" t="s">
        <v>122</v>
      </c>
      <c r="B35" s="2" t="s">
        <v>31</v>
      </c>
      <c r="C35" s="19">
        <f>SUM('BUNGALOW:WIDEHORIZONS, TM'!C35)</f>
        <v>20339</v>
      </c>
      <c r="D35" s="19">
        <f>SUM('BUNGALOW:WIDEHORIZONS, TM'!D35)</f>
        <v>34246</v>
      </c>
      <c r="E35" s="54">
        <f>SUM('BUNGALOW:WIDEHORIZONS, TM'!E35)</f>
        <v>54585</v>
      </c>
      <c r="F35" s="19">
        <f>SUM('BUNGALOW:WIDEHORIZONS, TM'!F35)</f>
        <v>0</v>
      </c>
      <c r="G35" s="54">
        <f>SUM('BUNGALOW:WIDEHORIZONS, TM'!G35)</f>
        <v>54585</v>
      </c>
      <c r="H35" s="138"/>
      <c r="I35" s="138"/>
      <c r="J35" s="8"/>
      <c r="K35" s="109">
        <f t="shared" si="1"/>
        <v>1.4786735297160972E-3</v>
      </c>
      <c r="M35" s="110">
        <f t="shared" si="2"/>
        <v>0.25066932406306114</v>
      </c>
    </row>
    <row r="36" spans="1:13">
      <c r="A36" s="86" t="s">
        <v>123</v>
      </c>
      <c r="B36" s="2" t="s">
        <v>32</v>
      </c>
      <c r="C36" s="19">
        <f>SUM('BUNGALOW:WIDEHORIZONS, TM'!C36)</f>
        <v>62861.78</v>
      </c>
      <c r="D36" s="19">
        <f>SUM('BUNGALOW:WIDEHORIZONS, TM'!D36)</f>
        <v>-1869.5400000000002</v>
      </c>
      <c r="E36" s="54">
        <f>SUM('BUNGALOW:WIDEHORIZONS, TM'!E36)</f>
        <v>60992.24</v>
      </c>
      <c r="F36" s="19">
        <f>SUM('BUNGALOW:WIDEHORIZONS, TM'!F36)</f>
        <v>0</v>
      </c>
      <c r="G36" s="54">
        <f>SUM('BUNGALOW:WIDEHORIZONS, TM'!G36)</f>
        <v>60992.24</v>
      </c>
      <c r="H36" s="138"/>
      <c r="I36" s="138"/>
      <c r="J36" s="8"/>
      <c r="K36" s="109">
        <f t="shared" si="1"/>
        <v>1.6522416562442307E-3</v>
      </c>
      <c r="M36" s="110">
        <f t="shared" si="2"/>
        <v>0.28009313133446917</v>
      </c>
    </row>
    <row r="37" spans="1:13">
      <c r="A37" s="86" t="s">
        <v>124</v>
      </c>
      <c r="B37" s="2" t="s">
        <v>33</v>
      </c>
      <c r="C37" s="19">
        <f>SUM('BUNGALOW:WIDEHORIZONS, TM'!C37)</f>
        <v>1283706.1200000001</v>
      </c>
      <c r="D37" s="19">
        <f>SUM('BUNGALOW:WIDEHORIZONS, TM'!D37)</f>
        <v>0</v>
      </c>
      <c r="E37" s="54">
        <f>SUM('BUNGALOW:WIDEHORIZONS, TM'!E37)</f>
        <v>1283706.1200000001</v>
      </c>
      <c r="F37" s="19">
        <f>SUM('BUNGALOW:WIDEHORIZONS, TM'!F37)</f>
        <v>393043</v>
      </c>
      <c r="G37" s="54">
        <f>SUM('BUNGALOW:WIDEHORIZONS, TM'!G37)</f>
        <v>1676749.12</v>
      </c>
      <c r="H37" s="138"/>
      <c r="I37" s="138"/>
      <c r="J37" s="8"/>
      <c r="K37" s="109">
        <f t="shared" si="1"/>
        <v>4.5422085549487221E-2</v>
      </c>
      <c r="M37" s="110">
        <f t="shared" si="2"/>
        <v>7.7000928557979771</v>
      </c>
    </row>
    <row r="38" spans="1:13">
      <c r="A38" s="86" t="s">
        <v>125</v>
      </c>
      <c r="B38" s="2" t="s">
        <v>34</v>
      </c>
      <c r="C38" s="19">
        <f>SUM('BUNGALOW:WIDEHORIZONS, TM'!C38)</f>
        <v>9243</v>
      </c>
      <c r="D38" s="19">
        <f>SUM('BUNGALOW:WIDEHORIZONS, TM'!D38)</f>
        <v>-1817</v>
      </c>
      <c r="E38" s="54">
        <f>SUM('BUNGALOW:WIDEHORIZONS, TM'!E38)</f>
        <v>7426</v>
      </c>
      <c r="F38" s="19">
        <f>SUM('BUNGALOW:WIDEHORIZONS, TM'!F38)</f>
        <v>0</v>
      </c>
      <c r="G38" s="54">
        <f>SUM('BUNGALOW:WIDEHORIZONS, TM'!G38)</f>
        <v>7426</v>
      </c>
      <c r="H38" s="138"/>
      <c r="I38" s="138"/>
      <c r="J38" s="8"/>
      <c r="K38" s="109">
        <f t="shared" si="1"/>
        <v>2.0116569811618097E-4</v>
      </c>
      <c r="M38" s="110">
        <f t="shared" si="2"/>
        <v>3.4102233223271813E-2</v>
      </c>
    </row>
    <row r="39" spans="1:13">
      <c r="A39" s="86" t="s">
        <v>126</v>
      </c>
      <c r="B39" s="2" t="s">
        <v>35</v>
      </c>
      <c r="C39" s="19">
        <f>SUM('BUNGALOW:WIDEHORIZONS, TM'!C39)</f>
        <v>8284</v>
      </c>
      <c r="D39" s="19">
        <f>SUM('BUNGALOW:WIDEHORIZONS, TM'!D39)</f>
        <v>-8284</v>
      </c>
      <c r="E39" s="54">
        <f>SUM('BUNGALOW:WIDEHORIZONS, TM'!E39)</f>
        <v>0</v>
      </c>
      <c r="F39" s="19">
        <f>SUM('BUNGALOW:WIDEHORIZONS, TM'!F39)</f>
        <v>0</v>
      </c>
      <c r="G39" s="54">
        <f>SUM('BUNGALOW:WIDEHORIZONS, TM'!G39)</f>
        <v>0</v>
      </c>
      <c r="H39" s="138"/>
      <c r="I39" s="138"/>
      <c r="J39" s="8"/>
      <c r="K39" s="109">
        <f t="shared" si="1"/>
        <v>0</v>
      </c>
      <c r="M39" s="110">
        <f t="shared" si="2"/>
        <v>0</v>
      </c>
    </row>
    <row r="40" spans="1:13">
      <c r="A40" s="86" t="s">
        <v>127</v>
      </c>
      <c r="B40" s="2" t="s">
        <v>36</v>
      </c>
      <c r="C40" s="19">
        <f>SUM('BUNGALOW:WIDEHORIZONS, TM'!C40)</f>
        <v>41182</v>
      </c>
      <c r="D40" s="19">
        <f>SUM('BUNGALOW:WIDEHORIZONS, TM'!D40)</f>
        <v>-41182</v>
      </c>
      <c r="E40" s="54">
        <f>SUM('BUNGALOW:WIDEHORIZONS, TM'!E40)</f>
        <v>0</v>
      </c>
      <c r="F40" s="19">
        <f>SUM('BUNGALOW:WIDEHORIZONS, TM'!F40)</f>
        <v>0</v>
      </c>
      <c r="G40" s="54">
        <f>SUM('BUNGALOW:WIDEHORIZONS, TM'!G40)</f>
        <v>0</v>
      </c>
      <c r="H40" s="138"/>
      <c r="I40" s="138"/>
      <c r="J40" s="8"/>
      <c r="K40" s="109">
        <f t="shared" si="1"/>
        <v>0</v>
      </c>
      <c r="M40" s="110">
        <f t="shared" si="2"/>
        <v>0</v>
      </c>
    </row>
    <row r="41" spans="1:13">
      <c r="A41" s="86" t="s">
        <v>128</v>
      </c>
      <c r="B41" s="2" t="s">
        <v>37</v>
      </c>
      <c r="C41" s="19">
        <f>SUM('BUNGALOW:WIDEHORIZONS, TM'!C41)</f>
        <v>0</v>
      </c>
      <c r="D41" s="19">
        <f>SUM('BUNGALOW:WIDEHORIZONS, TM'!D41)</f>
        <v>0</v>
      </c>
      <c r="E41" s="54">
        <f>SUM('BUNGALOW:WIDEHORIZONS, TM'!E41)</f>
        <v>0</v>
      </c>
      <c r="F41" s="19">
        <f>SUM('BUNGALOW:WIDEHORIZONS, TM'!F41)</f>
        <v>0</v>
      </c>
      <c r="G41" s="54">
        <f>SUM('BUNGALOW:WIDEHORIZONS, TM'!G41)</f>
        <v>0</v>
      </c>
      <c r="H41" s="138"/>
      <c r="I41" s="138"/>
      <c r="J41" s="8"/>
      <c r="K41" s="109">
        <f t="shared" si="1"/>
        <v>0</v>
      </c>
      <c r="M41" s="110">
        <f t="shared" si="2"/>
        <v>0</v>
      </c>
    </row>
    <row r="42" spans="1:13">
      <c r="A42" s="86">
        <v>220</v>
      </c>
      <c r="B42" s="2" t="s">
        <v>147</v>
      </c>
      <c r="C42" s="19">
        <f>SUM('BUNGALOW:WIDEHORIZONS, TM'!C42)</f>
        <v>197740.11</v>
      </c>
      <c r="D42" s="19">
        <f>SUM('BUNGALOW:WIDEHORIZONS, TM'!D42)</f>
        <v>29267</v>
      </c>
      <c r="E42" s="54">
        <f>SUM('BUNGALOW:WIDEHORIZONS, TM'!E42)</f>
        <v>227007.11</v>
      </c>
      <c r="F42" s="19">
        <f>SUM('BUNGALOW:WIDEHORIZONS, TM'!F42)</f>
        <v>82740</v>
      </c>
      <c r="G42" s="54">
        <f>SUM('BUNGALOW:WIDEHORIZONS, TM'!G42)</f>
        <v>309747.11</v>
      </c>
      <c r="H42" s="138"/>
      <c r="I42" s="138"/>
      <c r="J42" s="8"/>
      <c r="K42" s="109">
        <f t="shared" si="1"/>
        <v>8.3908555915189198E-3</v>
      </c>
      <c r="M42" s="110">
        <f t="shared" si="2"/>
        <v>1.4224438709203377</v>
      </c>
    </row>
    <row r="43" spans="1:13">
      <c r="A43" s="86">
        <v>230</v>
      </c>
      <c r="B43" s="2" t="s">
        <v>148</v>
      </c>
      <c r="C43" s="19">
        <f>SUM('BUNGALOW:WIDEHORIZONS, TM'!C43)</f>
        <v>139193.29</v>
      </c>
      <c r="D43" s="19">
        <f>SUM('BUNGALOW:WIDEHORIZONS, TM'!D43)</f>
        <v>64206</v>
      </c>
      <c r="E43" s="54">
        <f>SUM('BUNGALOW:WIDEHORIZONS, TM'!E43)</f>
        <v>203399.28999999998</v>
      </c>
      <c r="F43" s="19">
        <f>SUM('BUNGALOW:WIDEHORIZONS, TM'!F43)</f>
        <v>20985</v>
      </c>
      <c r="G43" s="54">
        <f>SUM('BUNGALOW:WIDEHORIZONS, TM'!G43)</f>
        <v>224384.28999999998</v>
      </c>
      <c r="H43" s="138"/>
      <c r="I43" s="138"/>
      <c r="J43" s="8"/>
      <c r="K43" s="109">
        <f t="shared" si="1"/>
        <v>6.0784301567672503E-3</v>
      </c>
      <c r="M43" s="110">
        <f t="shared" si="2"/>
        <v>1.0304343373576967</v>
      </c>
    </row>
    <row r="44" spans="1:13">
      <c r="A44" s="86">
        <v>240</v>
      </c>
      <c r="B44" s="2" t="s">
        <v>167</v>
      </c>
      <c r="C44" s="19">
        <f>SUM('BUNGALOW:WIDEHORIZONS, TM'!C44)</f>
        <v>0</v>
      </c>
      <c r="D44" s="19">
        <f>SUM('BUNGALOW:WIDEHORIZONS, TM'!D44)</f>
        <v>0</v>
      </c>
      <c r="E44" s="54">
        <f>SUM('BUNGALOW:WIDEHORIZONS, TM'!E44)</f>
        <v>0</v>
      </c>
      <c r="F44" s="19">
        <f>SUM('BUNGALOW:WIDEHORIZONS, TM'!F44)</f>
        <v>0</v>
      </c>
      <c r="G44" s="54">
        <f>SUM('BUNGALOW:WIDEHORIZONS, TM'!G44)</f>
        <v>0</v>
      </c>
      <c r="H44" s="138"/>
      <c r="I44" s="138"/>
      <c r="J44" s="8"/>
      <c r="K44" s="109">
        <f t="shared" si="1"/>
        <v>0</v>
      </c>
      <c r="M44" s="110">
        <f t="shared" ref="M44:M56" si="3">G44/$G$198</f>
        <v>0</v>
      </c>
    </row>
    <row r="45" spans="1:13">
      <c r="A45" s="86">
        <v>250</v>
      </c>
      <c r="B45" s="2" t="s">
        <v>168</v>
      </c>
      <c r="C45" s="19">
        <f>SUM('BUNGALOW:WIDEHORIZONS, TM'!C45)</f>
        <v>180176</v>
      </c>
      <c r="D45" s="19">
        <f>SUM('BUNGALOW:WIDEHORIZONS, TM'!D45)</f>
        <v>13336</v>
      </c>
      <c r="E45" s="54">
        <f>SUM('BUNGALOW:WIDEHORIZONS, TM'!E45)</f>
        <v>193512</v>
      </c>
      <c r="F45" s="19">
        <f>SUM('BUNGALOW:WIDEHORIZONS, TM'!F45)</f>
        <v>0</v>
      </c>
      <c r="G45" s="54">
        <f>SUM('BUNGALOW:WIDEHORIZONS, TM'!G45)</f>
        <v>193512</v>
      </c>
      <c r="H45" s="138"/>
      <c r="I45" s="138"/>
      <c r="J45" s="8"/>
      <c r="K45" s="109">
        <f t="shared" si="1"/>
        <v>5.2421191184834921E-3</v>
      </c>
      <c r="M45" s="110">
        <f t="shared" si="3"/>
        <v>0.88866029565065652</v>
      </c>
    </row>
    <row r="46" spans="1:13">
      <c r="A46" s="86">
        <v>270</v>
      </c>
      <c r="B46" s="2" t="s">
        <v>215</v>
      </c>
      <c r="C46" s="19">
        <f>SUM('BUNGALOW:WIDEHORIZONS, TM'!C46)</f>
        <v>1617.27</v>
      </c>
      <c r="D46" s="19">
        <f>SUM('BUNGALOW:WIDEHORIZONS, TM'!D46)</f>
        <v>-1617.27</v>
      </c>
      <c r="E46" s="54">
        <f>SUM('BUNGALOW:WIDEHORIZONS, TM'!E46)</f>
        <v>0</v>
      </c>
      <c r="F46" s="19">
        <f>SUM('BUNGALOW:WIDEHORIZONS, TM'!F46)</f>
        <v>0</v>
      </c>
      <c r="G46" s="54">
        <f>SUM('BUNGALOW:WIDEHORIZONS, TM'!G46)</f>
        <v>0</v>
      </c>
      <c r="H46" s="138"/>
      <c r="I46" s="138"/>
      <c r="J46" s="8"/>
      <c r="K46" s="109">
        <f t="shared" si="1"/>
        <v>0</v>
      </c>
      <c r="M46" s="110">
        <f t="shared" si="3"/>
        <v>0</v>
      </c>
    </row>
    <row r="47" spans="1:13">
      <c r="A47" s="86">
        <v>280</v>
      </c>
      <c r="B47" s="2" t="s">
        <v>169</v>
      </c>
      <c r="C47" s="19">
        <f>SUM('BUNGALOW:WIDEHORIZONS, TM'!C47)</f>
        <v>31987</v>
      </c>
      <c r="D47" s="19">
        <f>SUM('BUNGALOW:WIDEHORIZONS, TM'!D47)</f>
        <v>3268.59</v>
      </c>
      <c r="E47" s="54">
        <f>SUM('BUNGALOW:WIDEHORIZONS, TM'!E47)</f>
        <v>35255.589999999997</v>
      </c>
      <c r="F47" s="19">
        <f>SUM('BUNGALOW:WIDEHORIZONS, TM'!F47)</f>
        <v>0</v>
      </c>
      <c r="G47" s="54">
        <f>SUM('BUNGALOW:WIDEHORIZONS, TM'!G47)</f>
        <v>35255.589999999997</v>
      </c>
      <c r="H47" s="137">
        <f>SUM('BUNGALOW:WIDEHORIZONS, TM'!J47)</f>
        <v>2615.83</v>
      </c>
      <c r="I47" s="137">
        <f>SUM('BUNGALOW:WIDEHORIZONS, TM'!K47)</f>
        <v>2935.18</v>
      </c>
      <c r="J47" s="8"/>
      <c r="K47" s="109">
        <f t="shared" si="1"/>
        <v>9.5505189534713807E-4</v>
      </c>
      <c r="M47" s="110">
        <f t="shared" si="3"/>
        <v>0.16190336016752618</v>
      </c>
    </row>
    <row r="48" spans="1:13">
      <c r="A48" s="86">
        <v>290</v>
      </c>
      <c r="B48" s="2" t="s">
        <v>170</v>
      </c>
      <c r="C48" s="19">
        <f>SUM('BUNGALOW:WIDEHORIZONS, TM'!C48)</f>
        <v>0</v>
      </c>
      <c r="D48" s="19">
        <f>SUM('BUNGALOW:WIDEHORIZONS, TM'!D48)</f>
        <v>0</v>
      </c>
      <c r="E48" s="54">
        <f>SUM('BUNGALOW:WIDEHORIZONS, TM'!E48)</f>
        <v>0</v>
      </c>
      <c r="F48" s="19">
        <f>SUM('BUNGALOW:WIDEHORIZONS, TM'!F48)</f>
        <v>0</v>
      </c>
      <c r="G48" s="54">
        <f>SUM('BUNGALOW:WIDEHORIZONS, TM'!G48)</f>
        <v>0</v>
      </c>
      <c r="H48" s="138"/>
      <c r="I48" s="138"/>
      <c r="J48" s="8"/>
      <c r="K48" s="109">
        <f t="shared" si="1"/>
        <v>0</v>
      </c>
      <c r="M48" s="110">
        <f t="shared" si="3"/>
        <v>0</v>
      </c>
    </row>
    <row r="49" spans="1:13">
      <c r="A49" s="86">
        <v>300</v>
      </c>
      <c r="B49" s="2" t="s">
        <v>171</v>
      </c>
      <c r="C49" s="19">
        <f>SUM('BUNGALOW:WIDEHORIZONS, TM'!C49)</f>
        <v>205</v>
      </c>
      <c r="D49" s="19">
        <f>SUM('BUNGALOW:WIDEHORIZONS, TM'!D49)</f>
        <v>0</v>
      </c>
      <c r="E49" s="54">
        <f>SUM('BUNGALOW:WIDEHORIZONS, TM'!E49)</f>
        <v>205</v>
      </c>
      <c r="F49" s="19">
        <f>SUM('BUNGALOW:WIDEHORIZONS, TM'!F49)</f>
        <v>0</v>
      </c>
      <c r="G49" s="54">
        <f>SUM('BUNGALOW:WIDEHORIZONS, TM'!G49)</f>
        <v>205</v>
      </c>
      <c r="H49" s="138"/>
      <c r="I49" s="138"/>
      <c r="J49" s="8"/>
      <c r="K49" s="109">
        <f t="shared" si="1"/>
        <v>5.5533218575029756E-6</v>
      </c>
      <c r="M49" s="110">
        <f t="shared" si="3"/>
        <v>9.4141634941701067E-4</v>
      </c>
    </row>
    <row r="50" spans="1:13">
      <c r="A50" s="86">
        <v>310</v>
      </c>
      <c r="B50" s="2" t="s">
        <v>172</v>
      </c>
      <c r="C50" s="19">
        <f>SUM('BUNGALOW:WIDEHORIZONS, TM'!C50)</f>
        <v>20733</v>
      </c>
      <c r="D50" s="19">
        <f>SUM('BUNGALOW:WIDEHORIZONS, TM'!D50)</f>
        <v>32</v>
      </c>
      <c r="E50" s="54">
        <f>SUM('BUNGALOW:WIDEHORIZONS, TM'!E50)</f>
        <v>20765</v>
      </c>
      <c r="F50" s="19">
        <f>SUM('BUNGALOW:WIDEHORIZONS, TM'!F50)</f>
        <v>399</v>
      </c>
      <c r="G50" s="54">
        <f>SUM('BUNGALOW:WIDEHORIZONS, TM'!G50)</f>
        <v>21164</v>
      </c>
      <c r="H50" s="126"/>
      <c r="I50" s="126"/>
      <c r="J50" s="8"/>
      <c r="K50" s="109">
        <f t="shared" si="1"/>
        <v>5.7331953069362422E-4</v>
      </c>
      <c r="M50" s="110">
        <f t="shared" si="3"/>
        <v>9.7190905458837143E-2</v>
      </c>
    </row>
    <row r="51" spans="1:13">
      <c r="A51" s="86">
        <v>320</v>
      </c>
      <c r="B51" s="2" t="s">
        <v>173</v>
      </c>
      <c r="C51" s="19">
        <f>SUM('BUNGALOW:WIDEHORIZONS, TM'!C51)</f>
        <v>4321</v>
      </c>
      <c r="D51" s="19">
        <f>SUM('BUNGALOW:WIDEHORIZONS, TM'!D51)</f>
        <v>-3571</v>
      </c>
      <c r="E51" s="54">
        <f>SUM('BUNGALOW:WIDEHORIZONS, TM'!E51)</f>
        <v>750</v>
      </c>
      <c r="F51" s="19">
        <f>SUM('BUNGALOW:WIDEHORIZONS, TM'!F51)</f>
        <v>0</v>
      </c>
      <c r="G51" s="54">
        <f>SUM('BUNGALOW:WIDEHORIZONS, TM'!G51)</f>
        <v>750</v>
      </c>
      <c r="H51" s="138"/>
      <c r="I51" s="138"/>
      <c r="J51" s="8"/>
      <c r="K51" s="109">
        <f t="shared" si="1"/>
        <v>2.0317031185986497E-5</v>
      </c>
      <c r="M51" s="110">
        <f t="shared" si="3"/>
        <v>3.4442061564036977E-3</v>
      </c>
    </row>
    <row r="52" spans="1:13">
      <c r="A52" s="86">
        <v>330</v>
      </c>
      <c r="B52" s="2" t="s">
        <v>44</v>
      </c>
      <c r="C52" s="19">
        <f>SUM('BUNGALOW:WIDEHORIZONS, TM'!C52)</f>
        <v>58819</v>
      </c>
      <c r="D52" s="19">
        <f>SUM('BUNGALOW:WIDEHORIZONS, TM'!D52)</f>
        <v>98</v>
      </c>
      <c r="E52" s="54">
        <f>SUM('BUNGALOW:WIDEHORIZONS, TM'!E52)</f>
        <v>58917</v>
      </c>
      <c r="F52" s="19">
        <f>SUM('BUNGALOW:WIDEHORIZONS, TM'!F52)</f>
        <v>34022</v>
      </c>
      <c r="G52" s="54">
        <f>SUM('BUNGALOW:WIDEHORIZONS, TM'!G52)</f>
        <v>92939</v>
      </c>
      <c r="H52" s="138"/>
      <c r="I52" s="138"/>
      <c r="J52" s="8"/>
      <c r="K52" s="109">
        <f t="shared" si="1"/>
        <v>2.517659415192532E-3</v>
      </c>
      <c r="M52" s="110">
        <f t="shared" si="3"/>
        <v>0.42680143462667103</v>
      </c>
    </row>
    <row r="53" spans="1:13">
      <c r="A53" s="86">
        <v>340</v>
      </c>
      <c r="B53" s="2" t="s">
        <v>174</v>
      </c>
      <c r="C53" s="19">
        <f>SUM('BUNGALOW:WIDEHORIZONS, TM'!C53)</f>
        <v>8698</v>
      </c>
      <c r="D53" s="19">
        <f>SUM('BUNGALOW:WIDEHORIZONS, TM'!D53)</f>
        <v>0</v>
      </c>
      <c r="E53" s="54">
        <f>SUM('BUNGALOW:WIDEHORIZONS, TM'!E53)</f>
        <v>8698</v>
      </c>
      <c r="F53" s="19">
        <f>SUM('BUNGALOW:WIDEHORIZONS, TM'!F53)</f>
        <v>0</v>
      </c>
      <c r="G53" s="54">
        <f>SUM('BUNGALOW:WIDEHORIZONS, TM'!G53)</f>
        <v>8698</v>
      </c>
      <c r="H53" s="138"/>
      <c r="I53" s="138"/>
      <c r="J53" s="8"/>
      <c r="K53" s="109">
        <f t="shared" si="1"/>
        <v>2.3562338300761406E-4</v>
      </c>
      <c r="M53" s="110">
        <f t="shared" si="3"/>
        <v>3.9943606864532487E-2</v>
      </c>
    </row>
    <row r="54" spans="1:13">
      <c r="A54" s="86">
        <v>350</v>
      </c>
      <c r="B54" s="2" t="s">
        <v>175</v>
      </c>
      <c r="C54" s="19">
        <f>SUM('BUNGALOW:WIDEHORIZONS, TM'!C54)</f>
        <v>14874</v>
      </c>
      <c r="D54" s="19">
        <f>SUM('BUNGALOW:WIDEHORIZONS, TM'!D54)</f>
        <v>-5680</v>
      </c>
      <c r="E54" s="54">
        <f>SUM('BUNGALOW:WIDEHORIZONS, TM'!E54)</f>
        <v>9194</v>
      </c>
      <c r="F54" s="19">
        <f>SUM('BUNGALOW:WIDEHORIZONS, TM'!F54)</f>
        <v>9403</v>
      </c>
      <c r="G54" s="54">
        <f>SUM('BUNGALOW:WIDEHORIZONS, TM'!G54)</f>
        <v>18597</v>
      </c>
      <c r="H54" s="138"/>
      <c r="I54" s="138"/>
      <c r="J54" s="8"/>
      <c r="K54" s="109">
        <f t="shared" si="1"/>
        <v>5.0378110528772116E-4</v>
      </c>
      <c r="M54" s="110">
        <f t="shared" si="3"/>
        <v>8.5402535854186085E-2</v>
      </c>
    </row>
    <row r="55" spans="1:13">
      <c r="A55" s="86">
        <v>360</v>
      </c>
      <c r="B55" s="2" t="s">
        <v>176</v>
      </c>
      <c r="C55" s="19">
        <f>SUM('BUNGALOW:WIDEHORIZONS, TM'!C55)</f>
        <v>90</v>
      </c>
      <c r="D55" s="19">
        <f>SUM('BUNGALOW:WIDEHORIZONS, TM'!D55)</f>
        <v>0</v>
      </c>
      <c r="E55" s="54">
        <f>SUM('BUNGALOW:WIDEHORIZONS, TM'!E55)</f>
        <v>90</v>
      </c>
      <c r="F55" s="19">
        <f>SUM('BUNGALOW:WIDEHORIZONS, TM'!F55)</f>
        <v>0</v>
      </c>
      <c r="G55" s="54">
        <f>SUM('BUNGALOW:WIDEHORIZONS, TM'!G55)</f>
        <v>90</v>
      </c>
      <c r="H55" s="138"/>
      <c r="I55" s="138"/>
      <c r="J55" s="8"/>
      <c r="K55" s="109">
        <f t="shared" si="1"/>
        <v>2.4380437423183796E-6</v>
      </c>
      <c r="M55" s="110">
        <f t="shared" si="3"/>
        <v>4.1330473876844374E-4</v>
      </c>
    </row>
    <row r="56" spans="1:13">
      <c r="A56" s="86">
        <v>490</v>
      </c>
      <c r="B56" s="2" t="s">
        <v>155</v>
      </c>
      <c r="C56" s="19">
        <f>SUM('BUNGALOW:WIDEHORIZONS, TM'!C56)</f>
        <v>132656</v>
      </c>
      <c r="D56" s="19">
        <f>SUM('BUNGALOW:WIDEHORIZONS, TM'!D56)</f>
        <v>-37378</v>
      </c>
      <c r="E56" s="54">
        <f>SUM('BUNGALOW:WIDEHORIZONS, TM'!E56)</f>
        <v>95278</v>
      </c>
      <c r="F56" s="19">
        <f>SUM('BUNGALOW:WIDEHORIZONS, TM'!F56)</f>
        <v>0</v>
      </c>
      <c r="G56" s="54">
        <f>SUM('BUNGALOW:WIDEHORIZONS, TM'!G56)</f>
        <v>95278</v>
      </c>
      <c r="H56" s="138"/>
      <c r="I56" s="138"/>
      <c r="J56" s="8"/>
      <c r="K56" s="109">
        <f t="shared" si="1"/>
        <v>2.5810214631178953E-3</v>
      </c>
      <c r="M56" s="110">
        <f t="shared" si="3"/>
        <v>0.43754276555977534</v>
      </c>
    </row>
    <row r="57" spans="1:13" ht="24.75" customHeight="1">
      <c r="A57" s="86"/>
      <c r="B57" s="49" t="s">
        <v>217</v>
      </c>
      <c r="C57" s="54">
        <f>SUM(C21:C56)</f>
        <v>8289992.4100000001</v>
      </c>
      <c r="D57" s="54">
        <f>SUM(D21:D56)</f>
        <v>-1703888.6300000001</v>
      </c>
      <c r="E57" s="54">
        <f>SUM(E21:E56)</f>
        <v>6586103.7800000003</v>
      </c>
      <c r="F57" s="54">
        <f>SUM(F21:F56)</f>
        <v>2052959</v>
      </c>
      <c r="G57" s="54">
        <f>SUM(G21:G56)</f>
        <v>8639062.7800000012</v>
      </c>
      <c r="H57" s="138"/>
      <c r="I57" s="138"/>
      <c r="J57" s="8"/>
      <c r="K57" s="109">
        <f t="shared" si="1"/>
        <v>0.23402681055860697</v>
      </c>
      <c r="L57" s="68"/>
      <c r="M57" s="110">
        <f>G57/$G$198</f>
        <v>39.672950949912064</v>
      </c>
    </row>
    <row r="58" spans="1:13">
      <c r="B58" s="1"/>
      <c r="C58" s="41"/>
      <c r="D58" s="41"/>
      <c r="E58" s="41"/>
      <c r="F58" s="41"/>
      <c r="G58" s="41"/>
      <c r="H58" s="138"/>
      <c r="I58" s="138"/>
      <c r="J58" s="9"/>
      <c r="K58" s="12"/>
      <c r="M58" s="13"/>
    </row>
    <row r="59" spans="1:13">
      <c r="A59" s="86" t="s">
        <v>129</v>
      </c>
      <c r="B59" s="7" t="s">
        <v>38</v>
      </c>
      <c r="C59" s="1"/>
      <c r="D59" s="1"/>
      <c r="E59" s="1"/>
      <c r="F59" s="1"/>
      <c r="G59" s="1"/>
      <c r="H59" s="138"/>
      <c r="I59" s="138"/>
      <c r="J59" s="9"/>
      <c r="K59" s="12"/>
      <c r="M59" s="13"/>
    </row>
    <row r="60" spans="1:13">
      <c r="A60" s="86" t="s">
        <v>130</v>
      </c>
      <c r="B60" s="2" t="s">
        <v>261</v>
      </c>
      <c r="C60" s="19">
        <f>SUM('BUNGALOW:WIDEHORIZONS, TM'!C60)</f>
        <v>1748453</v>
      </c>
      <c r="D60" s="19">
        <f>SUM('BUNGALOW:WIDEHORIZONS, TM'!D60)</f>
        <v>-1342062</v>
      </c>
      <c r="E60" s="54">
        <f>SUM('BUNGALOW:WIDEHORIZONS, TM'!E60)</f>
        <v>406391</v>
      </c>
      <c r="F60" s="19">
        <f>SUM('BUNGALOW:WIDEHORIZONS, TM'!F60)</f>
        <v>331025</v>
      </c>
      <c r="G60" s="54">
        <f>SUM('BUNGALOW:WIDEHORIZONS, TM'!G60)</f>
        <v>737416</v>
      </c>
      <c r="H60" s="138"/>
      <c r="I60" s="138"/>
      <c r="J60" s="8"/>
      <c r="K60" s="109">
        <f>G60/$G$183</f>
        <v>1.9976138492060556E-2</v>
      </c>
      <c r="M60" s="110">
        <f>G60/$G$198</f>
        <v>3.3864169693741188</v>
      </c>
    </row>
    <row r="61" spans="1:13">
      <c r="A61" s="86" t="s">
        <v>131</v>
      </c>
      <c r="B61" s="2" t="s">
        <v>262</v>
      </c>
      <c r="C61" s="19">
        <f>SUM('BUNGALOW:WIDEHORIZONS, TM'!C61)</f>
        <v>132487</v>
      </c>
      <c r="D61" s="19">
        <f>SUM('BUNGALOW:WIDEHORIZONS, TM'!D61)</f>
        <v>129543.48999999999</v>
      </c>
      <c r="E61" s="54">
        <f>SUM('BUNGALOW:WIDEHORIZONS, TM'!E61)</f>
        <v>262030.49</v>
      </c>
      <c r="F61" s="19">
        <f>SUM('BUNGALOW:WIDEHORIZONS, TM'!F61)</f>
        <v>0</v>
      </c>
      <c r="G61" s="54">
        <f>SUM('BUNGALOW:WIDEHORIZONS, TM'!G61)</f>
        <v>262030.49</v>
      </c>
      <c r="H61" s="138"/>
      <c r="I61" s="138"/>
      <c r="J61" s="8"/>
      <c r="K61" s="109">
        <f t="shared" ref="K61:K76" si="4">G61/$G$183</f>
        <v>7.0982421826790969E-3</v>
      </c>
      <c r="M61" s="110">
        <f t="shared" ref="M61:M76" si="5">G61/$G$198</f>
        <v>1.2033160357646366</v>
      </c>
    </row>
    <row r="62" spans="1:13">
      <c r="A62" s="86" t="s">
        <v>132</v>
      </c>
      <c r="B62" s="2" t="s">
        <v>263</v>
      </c>
      <c r="C62" s="19">
        <f>SUM('BUNGALOW:WIDEHORIZONS, TM'!C62)</f>
        <v>494903</v>
      </c>
      <c r="D62" s="19">
        <f>SUM('BUNGALOW:WIDEHORIZONS, TM'!D62)</f>
        <v>183806.09999999998</v>
      </c>
      <c r="E62" s="54">
        <f>SUM('BUNGALOW:WIDEHORIZONS, TM'!E62)</f>
        <v>678709.1</v>
      </c>
      <c r="F62" s="19">
        <f>SUM('BUNGALOW:WIDEHORIZONS, TM'!F62)</f>
        <v>7727</v>
      </c>
      <c r="G62" s="54">
        <f>SUM('BUNGALOW:WIDEHORIZONS, TM'!G62)</f>
        <v>686436.1</v>
      </c>
      <c r="H62" s="138"/>
      <c r="I62" s="138"/>
      <c r="J62" s="8"/>
      <c r="K62" s="109">
        <f t="shared" si="4"/>
        <v>1.8595124867849259E-2</v>
      </c>
      <c r="M62" s="110">
        <f t="shared" si="5"/>
        <v>3.152303255463659</v>
      </c>
    </row>
    <row r="63" spans="1:13">
      <c r="A63" s="86" t="s">
        <v>133</v>
      </c>
      <c r="B63" s="2" t="s">
        <v>264</v>
      </c>
      <c r="C63" s="19">
        <f>SUM('BUNGALOW:WIDEHORIZONS, TM'!C63)</f>
        <v>62688</v>
      </c>
      <c r="D63" s="19">
        <f>SUM('BUNGALOW:WIDEHORIZONS, TM'!D63)</f>
        <v>2553</v>
      </c>
      <c r="E63" s="54">
        <f>SUM('BUNGALOW:WIDEHORIZONS, TM'!E63)</f>
        <v>65241</v>
      </c>
      <c r="F63" s="19">
        <f>SUM('BUNGALOW:WIDEHORIZONS, TM'!F63)</f>
        <v>2474</v>
      </c>
      <c r="G63" s="54">
        <f>SUM('BUNGALOW:WIDEHORIZONS, TM'!G63)</f>
        <v>67715</v>
      </c>
      <c r="H63" s="138"/>
      <c r="I63" s="138"/>
      <c r="J63" s="8"/>
      <c r="K63" s="109">
        <f t="shared" si="4"/>
        <v>1.8343570223454341E-3</v>
      </c>
      <c r="M63" s="110">
        <f t="shared" si="5"/>
        <v>0.31096589317450185</v>
      </c>
    </row>
    <row r="64" spans="1:13">
      <c r="A64" s="86" t="s">
        <v>134</v>
      </c>
      <c r="B64" s="2" t="s">
        <v>265</v>
      </c>
      <c r="C64" s="19">
        <f>SUM('BUNGALOW:WIDEHORIZONS, TM'!C64)</f>
        <v>83327.649999999994</v>
      </c>
      <c r="D64" s="19">
        <f>SUM('BUNGALOW:WIDEHORIZONS, TM'!D64)</f>
        <v>-14364</v>
      </c>
      <c r="E64" s="54">
        <f>SUM('BUNGALOW:WIDEHORIZONS, TM'!E64)</f>
        <v>68963.649999999994</v>
      </c>
      <c r="F64" s="19">
        <f>SUM('BUNGALOW:WIDEHORIZONS, TM'!F64)</f>
        <v>31466</v>
      </c>
      <c r="G64" s="54">
        <f>SUM('BUNGALOW:WIDEHORIZONS, TM'!G64)</f>
        <v>100429.65</v>
      </c>
      <c r="H64" s="138"/>
      <c r="I64" s="138"/>
      <c r="J64" s="8"/>
      <c r="K64" s="109">
        <f t="shared" si="4"/>
        <v>2.7205764413969448E-3</v>
      </c>
      <c r="M64" s="110">
        <f t="shared" si="5"/>
        <v>0.4612005584206248</v>
      </c>
    </row>
    <row r="65" spans="1:13">
      <c r="A65" s="86">
        <v>272</v>
      </c>
      <c r="B65" s="2" t="s">
        <v>338</v>
      </c>
      <c r="C65" s="19">
        <f>SUM('BUNGALOW:WIDEHORIZONS, TM'!C65)</f>
        <v>0</v>
      </c>
      <c r="D65" s="19">
        <f>SUM('BUNGALOW:WIDEHORIZONS, TM'!D65)</f>
        <v>0</v>
      </c>
      <c r="E65" s="54">
        <f>SUM('BUNGALOW:WIDEHORIZONS, TM'!E65)</f>
        <v>0</v>
      </c>
      <c r="F65" s="19">
        <f>SUM('BUNGALOW:WIDEHORIZONS, TM'!F65)</f>
        <v>0</v>
      </c>
      <c r="G65" s="54">
        <f>SUM('BUNGALOW:WIDEHORIZONS, TM'!G65)</f>
        <v>0</v>
      </c>
      <c r="H65" s="138"/>
      <c r="I65" s="138"/>
      <c r="J65" s="8"/>
      <c r="K65" s="109">
        <f t="shared" si="4"/>
        <v>0</v>
      </c>
      <c r="M65" s="110">
        <f t="shared" si="5"/>
        <v>0</v>
      </c>
    </row>
    <row r="66" spans="1:13">
      <c r="A66" s="86">
        <v>274</v>
      </c>
      <c r="B66" s="2" t="s">
        <v>340</v>
      </c>
      <c r="C66" s="19">
        <f>SUM('BUNGALOW:WIDEHORIZONS, TM'!C66)</f>
        <v>0</v>
      </c>
      <c r="D66" s="19">
        <f>SUM('BUNGALOW:WIDEHORIZONS, TM'!D66)</f>
        <v>0</v>
      </c>
      <c r="E66" s="54">
        <f>SUM('BUNGALOW:WIDEHORIZONS, TM'!E66)</f>
        <v>0</v>
      </c>
      <c r="F66" s="19">
        <f>SUM('BUNGALOW:WIDEHORIZONS, TM'!F66)</f>
        <v>0</v>
      </c>
      <c r="G66" s="54">
        <f>SUM('BUNGALOW:WIDEHORIZONS, TM'!G66)</f>
        <v>0</v>
      </c>
      <c r="H66" s="138"/>
      <c r="I66" s="138"/>
      <c r="J66" s="8"/>
      <c r="K66" s="109">
        <f t="shared" si="4"/>
        <v>0</v>
      </c>
      <c r="M66" s="110">
        <f t="shared" si="5"/>
        <v>0</v>
      </c>
    </row>
    <row r="67" spans="1:13">
      <c r="A67" s="86">
        <v>280</v>
      </c>
      <c r="B67" s="2" t="s">
        <v>266</v>
      </c>
      <c r="C67" s="19">
        <f>SUM('BUNGALOW:WIDEHORIZONS, TM'!C67)</f>
        <v>46404</v>
      </c>
      <c r="D67" s="19">
        <f>SUM('BUNGALOW:WIDEHORIZONS, TM'!D67)</f>
        <v>16396</v>
      </c>
      <c r="E67" s="54">
        <f>SUM('BUNGALOW:WIDEHORIZONS, TM'!E67)</f>
        <v>62800</v>
      </c>
      <c r="F67" s="19">
        <f>SUM('BUNGALOW:WIDEHORIZONS, TM'!F67)</f>
        <v>0</v>
      </c>
      <c r="G67" s="54">
        <f>SUM('BUNGALOW:WIDEHORIZONS, TM'!G67)</f>
        <v>62800</v>
      </c>
      <c r="H67" s="138"/>
      <c r="I67" s="138"/>
      <c r="J67" s="8"/>
      <c r="K67" s="109">
        <f t="shared" si="4"/>
        <v>1.701212744639936E-3</v>
      </c>
      <c r="M67" s="110">
        <f t="shared" si="5"/>
        <v>0.28839486216286964</v>
      </c>
    </row>
    <row r="68" spans="1:13">
      <c r="A68" s="86">
        <v>290</v>
      </c>
      <c r="B68" s="2" t="s">
        <v>267</v>
      </c>
      <c r="C68" s="19">
        <f>SUM('BUNGALOW:WIDEHORIZONS, TM'!C68)</f>
        <v>2570</v>
      </c>
      <c r="D68" s="19">
        <f>SUM('BUNGALOW:WIDEHORIZONS, TM'!D68)</f>
        <v>0</v>
      </c>
      <c r="E68" s="54">
        <f>SUM('BUNGALOW:WIDEHORIZONS, TM'!E68)</f>
        <v>2570</v>
      </c>
      <c r="F68" s="19">
        <f>SUM('BUNGALOW:WIDEHORIZONS, TM'!F68)</f>
        <v>0</v>
      </c>
      <c r="G68" s="54">
        <f>SUM('BUNGALOW:WIDEHORIZONS, TM'!G68)</f>
        <v>2570</v>
      </c>
      <c r="H68" s="138"/>
      <c r="I68" s="138"/>
      <c r="J68" s="8"/>
      <c r="K68" s="109">
        <f t="shared" si="4"/>
        <v>6.9619693530647054E-5</v>
      </c>
      <c r="M68" s="110">
        <f t="shared" si="5"/>
        <v>1.1802146429276671E-2</v>
      </c>
    </row>
    <row r="69" spans="1:13">
      <c r="A69" s="86">
        <v>300</v>
      </c>
      <c r="B69" s="2" t="s">
        <v>269</v>
      </c>
      <c r="C69" s="19">
        <f>SUM('BUNGALOW:WIDEHORIZONS, TM'!C69)</f>
        <v>2566</v>
      </c>
      <c r="D69" s="19">
        <f>SUM('BUNGALOW:WIDEHORIZONS, TM'!D69)</f>
        <v>0</v>
      </c>
      <c r="E69" s="54">
        <f>SUM('BUNGALOW:WIDEHORIZONS, TM'!E69)</f>
        <v>2566</v>
      </c>
      <c r="F69" s="19">
        <f>SUM('BUNGALOW:WIDEHORIZONS, TM'!F69)</f>
        <v>0</v>
      </c>
      <c r="G69" s="54">
        <f>SUM('BUNGALOW:WIDEHORIZONS, TM'!G69)</f>
        <v>2566</v>
      </c>
      <c r="H69" s="138"/>
      <c r="I69" s="138"/>
      <c r="J69" s="8"/>
      <c r="K69" s="109">
        <f t="shared" si="4"/>
        <v>6.9511336030988468E-5</v>
      </c>
      <c r="M69" s="110">
        <f t="shared" si="5"/>
        <v>1.1783777329775851E-2</v>
      </c>
    </row>
    <row r="70" spans="1:13">
      <c r="A70" s="86">
        <v>310</v>
      </c>
      <c r="B70" s="2" t="s">
        <v>268</v>
      </c>
      <c r="C70" s="19">
        <f>SUM('BUNGALOW:WIDEHORIZONS, TM'!C70)</f>
        <v>44166</v>
      </c>
      <c r="D70" s="19">
        <f>SUM('BUNGALOW:WIDEHORIZONS, TM'!D70)</f>
        <v>14970</v>
      </c>
      <c r="E70" s="54">
        <f>SUM('BUNGALOW:WIDEHORIZONS, TM'!E70)</f>
        <v>59136</v>
      </c>
      <c r="F70" s="19">
        <f>SUM('BUNGALOW:WIDEHORIZONS, TM'!F70)</f>
        <v>14747</v>
      </c>
      <c r="G70" s="54">
        <f>SUM('BUNGALOW:WIDEHORIZONS, TM'!G70)</f>
        <v>73883</v>
      </c>
      <c r="H70" s="138"/>
      <c r="I70" s="138"/>
      <c r="J70" s="8"/>
      <c r="K70" s="109">
        <f t="shared" si="4"/>
        <v>2.0014442868189872E-3</v>
      </c>
      <c r="M70" s="110">
        <f t="shared" si="5"/>
        <v>0.33929104460476589</v>
      </c>
    </row>
    <row r="71" spans="1:13">
      <c r="A71" s="86">
        <v>320</v>
      </c>
      <c r="B71" s="2" t="s">
        <v>270</v>
      </c>
      <c r="C71" s="19">
        <f>SUM('BUNGALOW:WIDEHORIZONS, TM'!C71)</f>
        <v>0</v>
      </c>
      <c r="D71" s="19">
        <f>SUM('BUNGALOW:WIDEHORIZONS, TM'!D71)</f>
        <v>0</v>
      </c>
      <c r="E71" s="54">
        <f>SUM('BUNGALOW:WIDEHORIZONS, TM'!E71)</f>
        <v>0</v>
      </c>
      <c r="F71" s="19">
        <f>SUM('BUNGALOW:WIDEHORIZONS, TM'!F71)</f>
        <v>1637</v>
      </c>
      <c r="G71" s="54">
        <f>SUM('BUNGALOW:WIDEHORIZONS, TM'!G71)</f>
        <v>1637</v>
      </c>
      <c r="H71" s="138"/>
      <c r="I71" s="138"/>
      <c r="J71" s="8"/>
      <c r="K71" s="109">
        <f t="shared" si="4"/>
        <v>4.4345306735279859E-5</v>
      </c>
      <c r="M71" s="110">
        <f t="shared" si="5"/>
        <v>7.5175539707104709E-3</v>
      </c>
    </row>
    <row r="72" spans="1:13">
      <c r="A72" s="86">
        <v>330</v>
      </c>
      <c r="B72" s="2" t="s">
        <v>271</v>
      </c>
      <c r="C72" s="19">
        <f>SUM('BUNGALOW:WIDEHORIZONS, TM'!C72)</f>
        <v>330326</v>
      </c>
      <c r="D72" s="19">
        <f>SUM('BUNGALOW:WIDEHORIZONS, TM'!D72)</f>
        <v>-197837</v>
      </c>
      <c r="E72" s="54">
        <f>SUM('BUNGALOW:WIDEHORIZONS, TM'!E72)</f>
        <v>132489</v>
      </c>
      <c r="F72" s="19">
        <f>SUM('BUNGALOW:WIDEHORIZONS, TM'!F72)</f>
        <v>207</v>
      </c>
      <c r="G72" s="54">
        <f>SUM('BUNGALOW:WIDEHORIZONS, TM'!G72)</f>
        <v>132696</v>
      </c>
      <c r="H72" s="138"/>
      <c r="I72" s="138"/>
      <c r="J72" s="8"/>
      <c r="K72" s="109">
        <f t="shared" si="4"/>
        <v>3.5946516936742187E-3</v>
      </c>
      <c r="M72" s="110">
        <f t="shared" si="5"/>
        <v>0.6093765068401934</v>
      </c>
    </row>
    <row r="73" spans="1:13">
      <c r="A73" s="86">
        <v>340</v>
      </c>
      <c r="B73" s="2" t="s">
        <v>272</v>
      </c>
      <c r="C73" s="19">
        <f>SUM('BUNGALOW:WIDEHORIZONS, TM'!C73)</f>
        <v>0</v>
      </c>
      <c r="D73" s="19">
        <f>SUM('BUNGALOW:WIDEHORIZONS, TM'!D73)</f>
        <v>0</v>
      </c>
      <c r="E73" s="54">
        <f>SUM('BUNGALOW:WIDEHORIZONS, TM'!E73)</f>
        <v>0</v>
      </c>
      <c r="F73" s="19">
        <f>SUM('BUNGALOW:WIDEHORIZONS, TM'!F73)</f>
        <v>0</v>
      </c>
      <c r="G73" s="54">
        <f>SUM('BUNGALOW:WIDEHORIZONS, TM'!G73)</f>
        <v>0</v>
      </c>
      <c r="H73" s="138"/>
      <c r="I73" s="138"/>
      <c r="J73" s="8"/>
      <c r="K73" s="109">
        <f t="shared" si="4"/>
        <v>0</v>
      </c>
      <c r="M73" s="110">
        <f t="shared" si="5"/>
        <v>0</v>
      </c>
    </row>
    <row r="74" spans="1:13">
      <c r="A74" s="86">
        <v>350</v>
      </c>
      <c r="B74" s="2" t="s">
        <v>332</v>
      </c>
      <c r="C74" s="19">
        <f>SUM('BUNGALOW:WIDEHORIZONS, TM'!C74)</f>
        <v>2790</v>
      </c>
      <c r="D74" s="19">
        <f>SUM('BUNGALOW:WIDEHORIZONS, TM'!D74)</f>
        <v>0</v>
      </c>
      <c r="E74" s="54">
        <f>SUM('BUNGALOW:WIDEHORIZONS, TM'!E74)</f>
        <v>2790</v>
      </c>
      <c r="F74" s="19">
        <f>SUM('BUNGALOW:WIDEHORIZONS, TM'!F74)</f>
        <v>0</v>
      </c>
      <c r="G74" s="54">
        <f>SUM('BUNGALOW:WIDEHORIZONS, TM'!G74)</f>
        <v>2790</v>
      </c>
      <c r="H74" s="138"/>
      <c r="I74" s="138"/>
      <c r="J74" s="8"/>
      <c r="K74" s="109">
        <f t="shared" si="4"/>
        <v>7.5579356011869767E-5</v>
      </c>
      <c r="M74" s="110">
        <f t="shared" si="5"/>
        <v>1.2812446901821756E-2</v>
      </c>
    </row>
    <row r="75" spans="1:13">
      <c r="A75" s="86">
        <v>360</v>
      </c>
      <c r="B75" s="2" t="s">
        <v>177</v>
      </c>
      <c r="C75" s="19">
        <f>SUM('BUNGALOW:WIDEHORIZONS, TM'!C75)</f>
        <v>-200</v>
      </c>
      <c r="D75" s="19">
        <f>SUM('BUNGALOW:WIDEHORIZONS, TM'!D75)</f>
        <v>0</v>
      </c>
      <c r="E75" s="54">
        <f>SUM('BUNGALOW:WIDEHORIZONS, TM'!E75)</f>
        <v>-200</v>
      </c>
      <c r="F75" s="19">
        <f>SUM('BUNGALOW:WIDEHORIZONS, TM'!F75)</f>
        <v>0</v>
      </c>
      <c r="G75" s="54">
        <f>SUM('BUNGALOW:WIDEHORIZONS, TM'!G75)</f>
        <v>-200</v>
      </c>
      <c r="H75" s="138"/>
      <c r="I75" s="138"/>
      <c r="J75" s="8"/>
      <c r="K75" s="109">
        <f t="shared" si="4"/>
        <v>-5.4178749829297325E-6</v>
      </c>
      <c r="M75" s="110">
        <f t="shared" si="5"/>
        <v>-9.1845497504098607E-4</v>
      </c>
    </row>
    <row r="76" spans="1:13">
      <c r="A76" s="86">
        <v>490</v>
      </c>
      <c r="B76" s="2" t="s">
        <v>155</v>
      </c>
      <c r="C76" s="19">
        <f>SUM('BUNGALOW:WIDEHORIZONS, TM'!C76)</f>
        <v>1241</v>
      </c>
      <c r="D76" s="19">
        <f>SUM('BUNGALOW:WIDEHORIZONS, TM'!D76)</f>
        <v>-549</v>
      </c>
      <c r="E76" s="54">
        <f>SUM('BUNGALOW:WIDEHORIZONS, TM'!E76)</f>
        <v>692</v>
      </c>
      <c r="F76" s="19">
        <f>SUM('BUNGALOW:WIDEHORIZONS, TM'!F76)</f>
        <v>0</v>
      </c>
      <c r="G76" s="54">
        <f>SUM('BUNGALOW:WIDEHORIZONS, TM'!G76)</f>
        <v>692</v>
      </c>
      <c r="H76" s="138"/>
      <c r="I76" s="138"/>
      <c r="J76" s="8"/>
      <c r="K76" s="109">
        <f t="shared" si="4"/>
        <v>1.8745847440936873E-5</v>
      </c>
      <c r="M76" s="110">
        <f t="shared" si="5"/>
        <v>3.1778542136418116E-3</v>
      </c>
    </row>
    <row r="77" spans="1:13" ht="22.5" customHeight="1">
      <c r="B77" s="49" t="s">
        <v>219</v>
      </c>
      <c r="C77" s="54">
        <f>SUM(C60:C76)</f>
        <v>2951721.65</v>
      </c>
      <c r="D77" s="54">
        <f>SUM(D60:D76)</f>
        <v>-1207543.4100000001</v>
      </c>
      <c r="E77" s="54">
        <f>SUM(E60:E76)</f>
        <v>1744178.2399999998</v>
      </c>
      <c r="F77" s="54">
        <f>SUM(F60:F76)</f>
        <v>389283</v>
      </c>
      <c r="G77" s="54">
        <f>SUM(G60:G76)</f>
        <v>2133461.2399999998</v>
      </c>
      <c r="H77" s="124"/>
      <c r="I77" s="124"/>
      <c r="J77" s="8"/>
      <c r="K77" s="109">
        <f>G77/$G$183</f>
        <v>5.779413139623122E-2</v>
      </c>
      <c r="L77" s="68"/>
      <c r="M77" s="110">
        <f>G77/$G$198</f>
        <v>9.7974404496755554</v>
      </c>
    </row>
    <row r="78" spans="1:13">
      <c r="B78" s="1"/>
      <c r="C78" s="41"/>
      <c r="D78" s="41"/>
      <c r="E78" s="41"/>
      <c r="F78" s="41"/>
      <c r="G78" s="41"/>
      <c r="H78" s="124"/>
      <c r="I78" s="124"/>
      <c r="J78" s="9"/>
      <c r="K78" s="12"/>
      <c r="M78" s="13"/>
    </row>
    <row r="79" spans="1:13">
      <c r="A79" s="86" t="s">
        <v>92</v>
      </c>
      <c r="B79" s="7" t="s">
        <v>39</v>
      </c>
      <c r="C79" s="1"/>
      <c r="D79" s="1"/>
      <c r="E79" s="1"/>
      <c r="F79" s="1"/>
      <c r="G79" s="1"/>
      <c r="H79" s="124"/>
      <c r="I79" s="124"/>
      <c r="J79" s="9"/>
      <c r="K79" s="12"/>
      <c r="M79" s="13"/>
    </row>
    <row r="80" spans="1:13">
      <c r="A80" s="86" t="s">
        <v>112</v>
      </c>
      <c r="B80" s="7" t="s">
        <v>40</v>
      </c>
      <c r="C80" s="19">
        <f>SUM('BUNGALOW:WIDEHORIZONS, TM'!C80)</f>
        <v>558044</v>
      </c>
      <c r="D80" s="19">
        <f>SUM('BUNGALOW:WIDEHORIZONS, TM'!D80)</f>
        <v>2221.98</v>
      </c>
      <c r="E80" s="54">
        <f>SUM('BUNGALOW:WIDEHORIZONS, TM'!E80)</f>
        <v>560265.98</v>
      </c>
      <c r="F80" s="19">
        <f>SUM('BUNGALOW:WIDEHORIZONS, TM'!F80)</f>
        <v>83756</v>
      </c>
      <c r="G80" s="54">
        <f>SUM('BUNGALOW:WIDEHORIZONS, TM'!G80)</f>
        <v>644021.98</v>
      </c>
      <c r="H80" s="137">
        <f>SUM('BUNGALOW:WIDEHORIZONS, TM'!J80)</f>
        <v>38763</v>
      </c>
      <c r="I80" s="137">
        <f>SUM('BUNGALOW:WIDEHORIZONS, TM'!K80)</f>
        <v>40708.243333333332</v>
      </c>
      <c r="J80" s="8"/>
      <c r="K80" s="109">
        <f t="shared" ref="K80:K92" si="6">G80/$G$183</f>
        <v>1.7446152869494361E-2</v>
      </c>
      <c r="M80" s="110">
        <f>G80/$G$198</f>
        <v>2.9575259578337318</v>
      </c>
    </row>
    <row r="81" spans="1:13">
      <c r="A81" s="86" t="s">
        <v>113</v>
      </c>
      <c r="B81" s="7" t="s">
        <v>273</v>
      </c>
      <c r="C81" s="19">
        <f>SUM('BUNGALOW:WIDEHORIZONS, TM'!C81)</f>
        <v>29444</v>
      </c>
      <c r="D81" s="19">
        <f>SUM('BUNGALOW:WIDEHORIZONS, TM'!D81)</f>
        <v>70005.41</v>
      </c>
      <c r="E81" s="54">
        <f>SUM('BUNGALOW:WIDEHORIZONS, TM'!E81)</f>
        <v>99449.41</v>
      </c>
      <c r="F81" s="19">
        <f>SUM('BUNGALOW:WIDEHORIZONS, TM'!F81)</f>
        <v>8732</v>
      </c>
      <c r="G81" s="54">
        <f>SUM('BUNGALOW:WIDEHORIZONS, TM'!G81)</f>
        <v>108181.41</v>
      </c>
      <c r="H81" s="124"/>
      <c r="I81" s="124"/>
      <c r="J81" s="8"/>
      <c r="K81" s="109">
        <f t="shared" si="6"/>
        <v>2.930566774285322E-3</v>
      </c>
      <c r="M81" s="110">
        <f>G81/$G$198</f>
        <v>0.49679877110724341</v>
      </c>
    </row>
    <row r="82" spans="1:13">
      <c r="A82" s="86" t="s">
        <v>119</v>
      </c>
      <c r="B82" s="7" t="s">
        <v>43</v>
      </c>
      <c r="C82" s="19">
        <f>SUM('BUNGALOW:WIDEHORIZONS, TM'!C82)</f>
        <v>73039</v>
      </c>
      <c r="D82" s="19">
        <f>SUM('BUNGALOW:WIDEHORIZONS, TM'!D82)</f>
        <v>243</v>
      </c>
      <c r="E82" s="54">
        <f>SUM('BUNGALOW:WIDEHORIZONS, TM'!E82)</f>
        <v>73282</v>
      </c>
      <c r="F82" s="19">
        <f>SUM('BUNGALOW:WIDEHORIZONS, TM'!F82)</f>
        <v>6356</v>
      </c>
      <c r="G82" s="54">
        <f>SUM('BUNGALOW:WIDEHORIZONS, TM'!G82)</f>
        <v>79638</v>
      </c>
      <c r="H82" s="124"/>
      <c r="I82" s="124"/>
      <c r="J82" s="8"/>
      <c r="K82" s="109">
        <f t="shared" si="6"/>
        <v>2.1573436394527901E-3</v>
      </c>
      <c r="M82" s="110">
        <f>G82/$G$198</f>
        <v>0.36571958651157022</v>
      </c>
    </row>
    <row r="83" spans="1:13">
      <c r="A83" s="86" t="s">
        <v>130</v>
      </c>
      <c r="B83" s="7" t="s">
        <v>42</v>
      </c>
      <c r="C83" s="19">
        <f>SUM('BUNGALOW:WIDEHORIZONS, TM'!C83)</f>
        <v>6618</v>
      </c>
      <c r="D83" s="19">
        <f>SUM('BUNGALOW:WIDEHORIZONS, TM'!D83)</f>
        <v>0</v>
      </c>
      <c r="E83" s="54">
        <f>SUM('BUNGALOW:WIDEHORIZONS, TM'!E83)</f>
        <v>6618</v>
      </c>
      <c r="F83" s="19">
        <f>SUM('BUNGALOW:WIDEHORIZONS, TM'!F83)</f>
        <v>63246</v>
      </c>
      <c r="G83" s="54">
        <f>SUM('BUNGALOW:WIDEHORIZONS, TM'!G83)</f>
        <v>69864</v>
      </c>
      <c r="H83" s="124"/>
      <c r="I83" s="124"/>
      <c r="J83" s="8"/>
      <c r="K83" s="109">
        <f t="shared" si="6"/>
        <v>1.892572089037014E-3</v>
      </c>
      <c r="M83" s="110">
        <f>G83/$G$198</f>
        <v>0.32083469188131725</v>
      </c>
    </row>
    <row r="84" spans="1:13">
      <c r="A84" s="86">
        <v>240</v>
      </c>
      <c r="B84" s="7" t="s">
        <v>274</v>
      </c>
      <c r="C84" s="19">
        <f>SUM('BUNGALOW:WIDEHORIZONS, TM'!C84)</f>
        <v>15228</v>
      </c>
      <c r="D84" s="19">
        <f>SUM('BUNGALOW:WIDEHORIZONS, TM'!D84)</f>
        <v>0</v>
      </c>
      <c r="E84" s="54">
        <f>SUM('BUNGALOW:WIDEHORIZONS, TM'!E84)</f>
        <v>15228</v>
      </c>
      <c r="F84" s="19">
        <f>SUM('BUNGALOW:WIDEHORIZONS, TM'!F84)</f>
        <v>0</v>
      </c>
      <c r="G84" s="54">
        <f>SUM('BUNGALOW:WIDEHORIZONS, TM'!G84)</f>
        <v>15228</v>
      </c>
      <c r="H84" s="124"/>
      <c r="I84" s="124"/>
      <c r="J84" s="8"/>
      <c r="K84" s="109">
        <f t="shared" si="6"/>
        <v>4.125170012002698E-4</v>
      </c>
      <c r="M84" s="110">
        <f>G84/$G$198</f>
        <v>6.9931161799620681E-2</v>
      </c>
    </row>
    <row r="85" spans="1:13">
      <c r="A85" s="86" t="s">
        <v>93</v>
      </c>
      <c r="B85" s="7" t="s">
        <v>44</v>
      </c>
      <c r="C85" s="19">
        <f>SUM('BUNGALOW:WIDEHORIZONS, TM'!C85)</f>
        <v>126266</v>
      </c>
      <c r="D85" s="19">
        <f>SUM('BUNGALOW:WIDEHORIZONS, TM'!D85)</f>
        <v>7977</v>
      </c>
      <c r="E85" s="54">
        <f>SUM('BUNGALOW:WIDEHORIZONS, TM'!E85)</f>
        <v>134243</v>
      </c>
      <c r="F85" s="19">
        <f>SUM('BUNGALOW:WIDEHORIZONS, TM'!F85)</f>
        <v>10076</v>
      </c>
      <c r="G85" s="54">
        <f>SUM('BUNGALOW:WIDEHORIZONS, TM'!G85)</f>
        <v>144319</v>
      </c>
      <c r="H85" s="124"/>
      <c r="I85" s="124"/>
      <c r="J85" s="8"/>
      <c r="K85" s="109">
        <f t="shared" si="6"/>
        <v>3.9095114983071803E-3</v>
      </c>
      <c r="M85" s="110">
        <f t="shared" ref="M85:M92" si="7">G85/$G$198</f>
        <v>0.66275251771470034</v>
      </c>
    </row>
    <row r="86" spans="1:13">
      <c r="A86" s="86" t="s">
        <v>94</v>
      </c>
      <c r="B86" s="7" t="s">
        <v>45</v>
      </c>
      <c r="C86" s="19">
        <f>SUM('BUNGALOW:WIDEHORIZONS, TM'!C86)</f>
        <v>122798</v>
      </c>
      <c r="D86" s="19">
        <f>SUM('BUNGALOW:WIDEHORIZONS, TM'!D86)</f>
        <v>916</v>
      </c>
      <c r="E86" s="54">
        <f>SUM('BUNGALOW:WIDEHORIZONS, TM'!E86)</f>
        <v>123714</v>
      </c>
      <c r="F86" s="19">
        <f>SUM('BUNGALOW:WIDEHORIZONS, TM'!F86)</f>
        <v>150748</v>
      </c>
      <c r="G86" s="54">
        <f>SUM('BUNGALOW:WIDEHORIZONS, TM'!G86)</f>
        <v>274462</v>
      </c>
      <c r="H86" s="125"/>
      <c r="I86" s="125"/>
      <c r="J86" s="8"/>
      <c r="K86" s="109">
        <f t="shared" si="6"/>
        <v>7.4350040178243013E-3</v>
      </c>
      <c r="M86" s="110">
        <f t="shared" si="7"/>
        <v>1.2604049467984955</v>
      </c>
    </row>
    <row r="87" spans="1:13">
      <c r="A87" s="86" t="s">
        <v>95</v>
      </c>
      <c r="B87" s="7" t="s">
        <v>46</v>
      </c>
      <c r="C87" s="19">
        <f>SUM('BUNGALOW:WIDEHORIZONS, TM'!C87)</f>
        <v>79430</v>
      </c>
      <c r="D87" s="19">
        <f>SUM('BUNGALOW:WIDEHORIZONS, TM'!D87)</f>
        <v>0</v>
      </c>
      <c r="E87" s="54">
        <f>SUM('BUNGALOW:WIDEHORIZONS, TM'!E87)</f>
        <v>79430</v>
      </c>
      <c r="F87" s="19">
        <f>SUM('BUNGALOW:WIDEHORIZONS, TM'!F87)</f>
        <v>4409</v>
      </c>
      <c r="G87" s="54">
        <f>SUM('BUNGALOW:WIDEHORIZONS, TM'!G87)</f>
        <v>83839</v>
      </c>
      <c r="H87" s="125"/>
      <c r="I87" s="125"/>
      <c r="J87" s="8"/>
      <c r="K87" s="109">
        <f t="shared" si="6"/>
        <v>2.2711461034692292E-3</v>
      </c>
      <c r="M87" s="110">
        <f t="shared" si="7"/>
        <v>0.38501173326230614</v>
      </c>
    </row>
    <row r="88" spans="1:13">
      <c r="A88" s="86" t="s">
        <v>96</v>
      </c>
      <c r="B88" s="7" t="s">
        <v>47</v>
      </c>
      <c r="C88" s="19">
        <f>SUM('BUNGALOW:WIDEHORIZONS, TM'!C88)</f>
        <v>143945</v>
      </c>
      <c r="D88" s="19">
        <f>SUM('BUNGALOW:WIDEHORIZONS, TM'!D88)</f>
        <v>10672</v>
      </c>
      <c r="E88" s="54">
        <f>SUM('BUNGALOW:WIDEHORIZONS, TM'!E88)</f>
        <v>154617</v>
      </c>
      <c r="F88" s="19">
        <f>SUM('BUNGALOW:WIDEHORIZONS, TM'!F88)</f>
        <v>15182</v>
      </c>
      <c r="G88" s="54">
        <f>SUM('BUNGALOW:WIDEHORIZONS, TM'!G88)</f>
        <v>169799</v>
      </c>
      <c r="H88" s="126"/>
      <c r="I88" s="126"/>
      <c r="J88" s="8"/>
      <c r="K88" s="109">
        <f t="shared" si="6"/>
        <v>4.5997487711324277E-3</v>
      </c>
      <c r="M88" s="110">
        <f t="shared" si="7"/>
        <v>0.77976368153492193</v>
      </c>
    </row>
    <row r="89" spans="1:13">
      <c r="A89" s="86" t="s">
        <v>97</v>
      </c>
      <c r="B89" s="7" t="s">
        <v>48</v>
      </c>
      <c r="C89" s="19">
        <f>SUM('BUNGALOW:WIDEHORIZONS, TM'!C89)</f>
        <v>415510.69</v>
      </c>
      <c r="D89" s="19">
        <f>SUM('BUNGALOW:WIDEHORIZONS, TM'!D89)</f>
        <v>2462</v>
      </c>
      <c r="E89" s="54">
        <f>SUM('BUNGALOW:WIDEHORIZONS, TM'!E89)</f>
        <v>417972.69</v>
      </c>
      <c r="F89" s="19">
        <f>SUM('BUNGALOW:WIDEHORIZONS, TM'!F89)</f>
        <v>109240</v>
      </c>
      <c r="G89" s="54">
        <f>SUM('BUNGALOW:WIDEHORIZONS, TM'!G89)</f>
        <v>527212.68999999994</v>
      </c>
      <c r="H89" s="124"/>
      <c r="I89" s="124"/>
      <c r="J89" s="8"/>
      <c r="K89" s="109">
        <f t="shared" si="6"/>
        <v>1.428186221917044E-2</v>
      </c>
      <c r="M89" s="110">
        <f t="shared" si="7"/>
        <v>2.4211055901762055</v>
      </c>
    </row>
    <row r="90" spans="1:13">
      <c r="A90" s="86">
        <v>360</v>
      </c>
      <c r="B90" s="7" t="s">
        <v>178</v>
      </c>
      <c r="C90" s="19">
        <f>SUM('BUNGALOW:WIDEHORIZONS, TM'!C90)</f>
        <v>12118</v>
      </c>
      <c r="D90" s="19">
        <f>SUM('BUNGALOW:WIDEHORIZONS, TM'!D90)</f>
        <v>0</v>
      </c>
      <c r="E90" s="54">
        <f>SUM('BUNGALOW:WIDEHORIZONS, TM'!E90)</f>
        <v>12118</v>
      </c>
      <c r="F90" s="19">
        <f>SUM('BUNGALOW:WIDEHORIZONS, TM'!F90)</f>
        <v>0</v>
      </c>
      <c r="G90" s="54">
        <f>SUM('BUNGALOW:WIDEHORIZONS, TM'!G90)</f>
        <v>12118</v>
      </c>
      <c r="H90" s="124"/>
      <c r="I90" s="124"/>
      <c r="J90" s="8"/>
      <c r="K90" s="109">
        <f t="shared" si="6"/>
        <v>3.2826904521571248E-4</v>
      </c>
      <c r="M90" s="110">
        <f t="shared" si="7"/>
        <v>5.5649186937733346E-2</v>
      </c>
    </row>
    <row r="91" spans="1:13">
      <c r="A91" s="86">
        <v>490</v>
      </c>
      <c r="B91" s="7" t="s">
        <v>155</v>
      </c>
      <c r="C91" s="19">
        <f>SUM('BUNGALOW:WIDEHORIZONS, TM'!C91)</f>
        <v>54969</v>
      </c>
      <c r="D91" s="19">
        <f>SUM('BUNGALOW:WIDEHORIZONS, TM'!D91)</f>
        <v>32420</v>
      </c>
      <c r="E91" s="54">
        <f>SUM('BUNGALOW:WIDEHORIZONS, TM'!E91)</f>
        <v>87389</v>
      </c>
      <c r="F91" s="19">
        <f>SUM('BUNGALOW:WIDEHORIZONS, TM'!F91)</f>
        <v>40792</v>
      </c>
      <c r="G91" s="54">
        <f>SUM('BUNGALOW:WIDEHORIZONS, TM'!G91)</f>
        <v>128181</v>
      </c>
      <c r="H91" s="124"/>
      <c r="I91" s="124"/>
      <c r="J91" s="8"/>
      <c r="K91" s="109">
        <f t="shared" si="6"/>
        <v>3.47234316593458E-3</v>
      </c>
      <c r="M91" s="110">
        <f t="shared" si="7"/>
        <v>0.58864238577864314</v>
      </c>
    </row>
    <row r="92" spans="1:13" ht="22.5" customHeight="1">
      <c r="A92" s="86"/>
      <c r="B92" s="49" t="s">
        <v>304</v>
      </c>
      <c r="C92" s="54">
        <f>SUM(C80:C91)</f>
        <v>1637409.69</v>
      </c>
      <c r="D92" s="54">
        <f>SUM(D80:D91)</f>
        <v>126917.39</v>
      </c>
      <c r="E92" s="54">
        <f>SUM(E80:E91)</f>
        <v>1764327.08</v>
      </c>
      <c r="F92" s="54">
        <f>SUM(F80:F91)</f>
        <v>492537</v>
      </c>
      <c r="G92" s="54">
        <f>SUM(G80:G91)</f>
        <v>2256864.08</v>
      </c>
      <c r="H92" s="124"/>
      <c r="I92" s="124"/>
      <c r="J92" s="8"/>
      <c r="K92" s="109">
        <f t="shared" si="6"/>
        <v>6.1137037194523632E-2</v>
      </c>
      <c r="L92" s="68"/>
      <c r="M92" s="110">
        <f t="shared" si="7"/>
        <v>10.36414021133649</v>
      </c>
    </row>
    <row r="93" spans="1:13">
      <c r="C93" s="41"/>
      <c r="D93" s="41"/>
      <c r="E93" s="41"/>
      <c r="F93" s="41"/>
      <c r="G93" s="41"/>
      <c r="H93" s="124"/>
      <c r="I93" s="124"/>
      <c r="J93" s="9"/>
      <c r="K93" s="12"/>
      <c r="M93" s="13"/>
    </row>
    <row r="94" spans="1:13">
      <c r="A94" s="86" t="s">
        <v>98</v>
      </c>
      <c r="B94" s="7" t="s">
        <v>50</v>
      </c>
      <c r="C94" s="1"/>
      <c r="D94" s="1"/>
      <c r="E94" s="1"/>
      <c r="F94" s="1"/>
      <c r="G94" s="1"/>
      <c r="H94" s="124"/>
      <c r="I94" s="124"/>
      <c r="J94" s="9"/>
      <c r="K94" s="12"/>
      <c r="M94" s="13"/>
    </row>
    <row r="95" spans="1:13">
      <c r="A95" s="86" t="s">
        <v>112</v>
      </c>
      <c r="B95" s="7" t="s">
        <v>40</v>
      </c>
      <c r="C95" s="19">
        <f>SUM('BUNGALOW:WIDEHORIZONS, TM'!C95)</f>
        <v>765917.63</v>
      </c>
      <c r="D95" s="19">
        <f>SUM('BUNGALOW:WIDEHORIZONS, TM'!D95)</f>
        <v>9271.65</v>
      </c>
      <c r="E95" s="54">
        <f>SUM('BUNGALOW:WIDEHORIZONS, TM'!E95)</f>
        <v>775189.28</v>
      </c>
      <c r="F95" s="19">
        <f>SUM('BUNGALOW:WIDEHORIZONS, TM'!F95)</f>
        <v>254348</v>
      </c>
      <c r="G95" s="54">
        <f>SUM('BUNGALOW:WIDEHORIZONS, TM'!G95)</f>
        <v>1029537.28</v>
      </c>
      <c r="H95" s="152">
        <f>SUM('BUNGALOW:WIDEHORIZONS, TM'!J95)</f>
        <v>89518.963333333333</v>
      </c>
      <c r="I95" s="152">
        <f>SUM('BUNGALOW:WIDEHORIZONS, TM'!K95)</f>
        <v>94183.456666666665</v>
      </c>
      <c r="J95" s="8"/>
      <c r="K95" s="109">
        <f t="shared" ref="K95:K101" si="8">G95/$G$183</f>
        <v>2.7889521366527618E-2</v>
      </c>
      <c r="M95" s="110">
        <f t="shared" ref="M95:M101" si="9">G95/$G$198</f>
        <v>4.7279181840308233</v>
      </c>
    </row>
    <row r="96" spans="1:13">
      <c r="A96" s="86" t="s">
        <v>113</v>
      </c>
      <c r="B96" s="7" t="s">
        <v>41</v>
      </c>
      <c r="C96" s="19">
        <f>SUM('BUNGALOW:WIDEHORIZONS, TM'!C96)</f>
        <v>51245</v>
      </c>
      <c r="D96" s="19">
        <f>SUM('BUNGALOW:WIDEHORIZONS, TM'!D96)</f>
        <v>83094.97</v>
      </c>
      <c r="E96" s="54">
        <f>SUM('BUNGALOW:WIDEHORIZONS, TM'!E96)</f>
        <v>134339.97</v>
      </c>
      <c r="F96" s="19">
        <f>SUM('BUNGALOW:WIDEHORIZONS, TM'!F96)</f>
        <v>25575</v>
      </c>
      <c r="G96" s="54">
        <f>SUM('BUNGALOW:WIDEHORIZONS, TM'!G96)</f>
        <v>159914.97</v>
      </c>
      <c r="H96" s="124"/>
      <c r="I96" s="124"/>
      <c r="J96" s="8"/>
      <c r="K96" s="109">
        <f t="shared" si="8"/>
        <v>4.3319965767947936E-3</v>
      </c>
      <c r="M96" s="110">
        <f t="shared" si="9"/>
        <v>0.73437349890015013</v>
      </c>
    </row>
    <row r="97" spans="1:13">
      <c r="A97" s="86" t="s">
        <v>93</v>
      </c>
      <c r="B97" s="7" t="s">
        <v>53</v>
      </c>
      <c r="C97" s="19">
        <f>SUM('BUNGALOW:WIDEHORIZONS, TM'!C97)</f>
        <v>449555</v>
      </c>
      <c r="D97" s="19">
        <f>SUM('BUNGALOW:WIDEHORIZONS, TM'!D97)</f>
        <v>-166507</v>
      </c>
      <c r="E97" s="54">
        <f>SUM('BUNGALOW:WIDEHORIZONS, TM'!E97)</f>
        <v>283048</v>
      </c>
      <c r="F97" s="19">
        <f>SUM('BUNGALOW:WIDEHORIZONS, TM'!F97)</f>
        <v>16960</v>
      </c>
      <c r="G97" s="54">
        <f>SUM('BUNGALOW:WIDEHORIZONS, TM'!G97)</f>
        <v>300008</v>
      </c>
      <c r="H97" s="124"/>
      <c r="I97" s="124"/>
      <c r="J97" s="8"/>
      <c r="K97" s="109">
        <f t="shared" si="8"/>
        <v>8.1270291893939164E-3</v>
      </c>
      <c r="M97" s="110">
        <f t="shared" si="9"/>
        <v>1.3777192007604808</v>
      </c>
    </row>
    <row r="98" spans="1:13">
      <c r="A98" s="86" t="s">
        <v>99</v>
      </c>
      <c r="B98" s="7" t="s">
        <v>51</v>
      </c>
      <c r="C98" s="19">
        <f>SUM('BUNGALOW:WIDEHORIZONS, TM'!C98)</f>
        <v>921854</v>
      </c>
      <c r="D98" s="19">
        <f>SUM('BUNGALOW:WIDEHORIZONS, TM'!D98)</f>
        <v>153380</v>
      </c>
      <c r="E98" s="54">
        <f>SUM('BUNGALOW:WIDEHORIZONS, TM'!E98)</f>
        <v>1075234</v>
      </c>
      <c r="F98" s="19">
        <f>SUM('BUNGALOW:WIDEHORIZONS, TM'!F98)</f>
        <v>375057</v>
      </c>
      <c r="G98" s="54">
        <f>SUM('BUNGALOW:WIDEHORIZONS, TM'!G98)</f>
        <v>1450291</v>
      </c>
      <c r="H98" s="124"/>
      <c r="I98" s="124"/>
      <c r="J98" s="8"/>
      <c r="K98" s="109">
        <f t="shared" si="8"/>
        <v>3.9287476634340721E-2</v>
      </c>
      <c r="M98" s="110">
        <f t="shared" si="9"/>
        <v>6.6601349210358336</v>
      </c>
    </row>
    <row r="99" spans="1:13">
      <c r="A99" s="86">
        <v>390</v>
      </c>
      <c r="B99" s="7" t="s">
        <v>52</v>
      </c>
      <c r="C99" s="19">
        <f>SUM('BUNGALOW:WIDEHORIZONS, TM'!C99)</f>
        <v>90405</v>
      </c>
      <c r="D99" s="19">
        <f>SUM('BUNGALOW:WIDEHORIZONS, TM'!D99)</f>
        <v>211</v>
      </c>
      <c r="E99" s="54">
        <f>SUM('BUNGALOW:WIDEHORIZONS, TM'!E99)</f>
        <v>90616</v>
      </c>
      <c r="F99" s="19">
        <f>SUM('BUNGALOW:WIDEHORIZONS, TM'!F99)</f>
        <v>40244</v>
      </c>
      <c r="G99" s="54">
        <f>SUM('BUNGALOW:WIDEHORIZONS, TM'!G99)</f>
        <v>130860</v>
      </c>
      <c r="H99" s="124"/>
      <c r="I99" s="124"/>
      <c r="J99" s="8"/>
      <c r="K99" s="109">
        <f t="shared" si="8"/>
        <v>3.5449156013309239E-3</v>
      </c>
      <c r="M99" s="110">
        <f t="shared" si="9"/>
        <v>0.60094509016931719</v>
      </c>
    </row>
    <row r="100" spans="1:13">
      <c r="A100" s="86">
        <v>490</v>
      </c>
      <c r="B100" s="7" t="s">
        <v>155</v>
      </c>
      <c r="C100" s="19">
        <f>SUM('BUNGALOW:WIDEHORIZONS, TM'!C100)</f>
        <v>1995</v>
      </c>
      <c r="D100" s="19">
        <f>SUM('BUNGALOW:WIDEHORIZONS, TM'!D100)</f>
        <v>57</v>
      </c>
      <c r="E100" s="54">
        <f>SUM('BUNGALOW:WIDEHORIZONS, TM'!E100)</f>
        <v>2052</v>
      </c>
      <c r="F100" s="19">
        <f>SUM('BUNGALOW:WIDEHORIZONS, TM'!F100)</f>
        <v>1259</v>
      </c>
      <c r="G100" s="54">
        <f>SUM('BUNGALOW:WIDEHORIZONS, TM'!G100)</f>
        <v>3311</v>
      </c>
      <c r="H100" s="125"/>
      <c r="I100" s="125"/>
      <c r="J100" s="8"/>
      <c r="K100" s="109">
        <f t="shared" si="8"/>
        <v>8.9692920342401716E-5</v>
      </c>
      <c r="M100" s="110">
        <f t="shared" si="9"/>
        <v>1.5205022111803523E-2</v>
      </c>
    </row>
    <row r="101" spans="1:13" ht="23.25" customHeight="1">
      <c r="A101" s="86"/>
      <c r="B101" s="49" t="s">
        <v>54</v>
      </c>
      <c r="C101" s="54">
        <f>SUM(C95:C100)</f>
        <v>2280971.63</v>
      </c>
      <c r="D101" s="54">
        <f>SUM(D95:D100)</f>
        <v>79507.62</v>
      </c>
      <c r="E101" s="54">
        <f>SUM(E95:E100)</f>
        <v>2360479.25</v>
      </c>
      <c r="F101" s="54">
        <f>SUM(F95:F100)</f>
        <v>713443</v>
      </c>
      <c r="G101" s="54">
        <f>SUM(G95:G100)</f>
        <v>3073922.25</v>
      </c>
      <c r="H101" s="125"/>
      <c r="I101" s="125"/>
      <c r="J101" s="8"/>
      <c r="K101" s="109">
        <f t="shared" si="8"/>
        <v>8.327063228873037E-2</v>
      </c>
      <c r="L101" s="68"/>
      <c r="M101" s="110">
        <f t="shared" si="9"/>
        <v>14.116295917008408</v>
      </c>
    </row>
    <row r="102" spans="1:13">
      <c r="C102" s="41"/>
      <c r="D102" s="41"/>
      <c r="E102" s="41"/>
      <c r="F102" s="41"/>
      <c r="G102" s="41"/>
      <c r="H102" s="126"/>
      <c r="I102" s="126"/>
      <c r="J102" s="9"/>
      <c r="K102" s="12"/>
      <c r="M102" s="13"/>
    </row>
    <row r="103" spans="1:13">
      <c r="A103" s="86" t="s">
        <v>101</v>
      </c>
      <c r="B103" s="7" t="s">
        <v>55</v>
      </c>
      <c r="C103" s="1"/>
      <c r="D103" s="1"/>
      <c r="E103" s="1"/>
      <c r="F103" s="1"/>
      <c r="G103" s="1"/>
      <c r="H103" s="124"/>
      <c r="I103" s="124"/>
      <c r="J103" s="9"/>
      <c r="K103" s="12"/>
      <c r="M103" s="13"/>
    </row>
    <row r="104" spans="1:13">
      <c r="A104" s="86" t="s">
        <v>112</v>
      </c>
      <c r="B104" s="7" t="s">
        <v>40</v>
      </c>
      <c r="C104" s="19">
        <f>SUM('BUNGALOW:WIDEHORIZONS, TM'!C104)</f>
        <v>254699</v>
      </c>
      <c r="D104" s="19">
        <f>SUM('BUNGALOW:WIDEHORIZONS, TM'!D104)</f>
        <v>3664.81</v>
      </c>
      <c r="E104" s="54">
        <f>SUM('BUNGALOW:WIDEHORIZONS, TM'!E104)</f>
        <v>258363.81</v>
      </c>
      <c r="F104" s="19">
        <f>SUM('BUNGALOW:WIDEHORIZONS, TM'!F104)</f>
        <v>135082</v>
      </c>
      <c r="G104" s="54">
        <f>SUM('BUNGALOW:WIDEHORIZONS, TM'!G104)</f>
        <v>393445.81</v>
      </c>
      <c r="H104" s="137">
        <f>SUM('BUNGALOW:WIDEHORIZONS, TM'!J104)</f>
        <v>35908.423333333332</v>
      </c>
      <c r="I104" s="137">
        <f>SUM('BUNGALOW:WIDEHORIZONS, TM'!K104)</f>
        <v>37700.58</v>
      </c>
      <c r="J104" s="8"/>
      <c r="K104" s="109">
        <f t="shared" ref="K104:K110" si="10">G104/$G$183</f>
        <v>1.0658201055687624E-2</v>
      </c>
      <c r="M104" s="110">
        <f t="shared" ref="M104:M110" si="11">G104/$G$198</f>
        <v>1.8068113080176527</v>
      </c>
    </row>
    <row r="105" spans="1:13">
      <c r="A105" s="86" t="s">
        <v>113</v>
      </c>
      <c r="B105" s="7" t="s">
        <v>41</v>
      </c>
      <c r="C105" s="19">
        <f>SUM('BUNGALOW:WIDEHORIZONS, TM'!C105)</f>
        <v>5489</v>
      </c>
      <c r="D105" s="19">
        <f>SUM('BUNGALOW:WIDEHORIZONS, TM'!D105)</f>
        <v>33496.31</v>
      </c>
      <c r="E105" s="54">
        <f>SUM('BUNGALOW:WIDEHORIZONS, TM'!E105)</f>
        <v>38985.31</v>
      </c>
      <c r="F105" s="19">
        <f>SUM('BUNGALOW:WIDEHORIZONS, TM'!F105)</f>
        <v>13599</v>
      </c>
      <c r="G105" s="54">
        <f>SUM('BUNGALOW:WIDEHORIZONS, TM'!G105)</f>
        <v>52584.31</v>
      </c>
      <c r="H105" s="124"/>
      <c r="I105" s="124"/>
      <c r="J105" s="8"/>
      <c r="K105" s="109">
        <f t="shared" si="10"/>
        <v>1.4244760882181086E-3</v>
      </c>
      <c r="M105" s="110">
        <f t="shared" si="11"/>
        <v>0.24148160564298735</v>
      </c>
    </row>
    <row r="106" spans="1:13">
      <c r="A106" s="86" t="s">
        <v>119</v>
      </c>
      <c r="B106" s="7" t="s">
        <v>43</v>
      </c>
      <c r="C106" s="19">
        <f>SUM('BUNGALOW:WIDEHORIZONS, TM'!C106)</f>
        <v>18918</v>
      </c>
      <c r="D106" s="19">
        <f>SUM('BUNGALOW:WIDEHORIZONS, TM'!D106)</f>
        <v>0</v>
      </c>
      <c r="E106" s="54">
        <f>SUM('BUNGALOW:WIDEHORIZONS, TM'!E106)</f>
        <v>18918</v>
      </c>
      <c r="F106" s="19">
        <f>SUM('BUNGALOW:WIDEHORIZONS, TM'!F106)</f>
        <v>0</v>
      </c>
      <c r="G106" s="54">
        <f>SUM('BUNGALOW:WIDEHORIZONS, TM'!G106)</f>
        <v>18918</v>
      </c>
      <c r="H106" s="124"/>
      <c r="I106" s="124"/>
      <c r="J106" s="8"/>
      <c r="K106" s="109">
        <f t="shared" si="10"/>
        <v>5.1247679463532335E-4</v>
      </c>
      <c r="M106" s="110">
        <f t="shared" si="11"/>
        <v>8.6876656089126869E-2</v>
      </c>
    </row>
    <row r="107" spans="1:13">
      <c r="A107" s="86" t="s">
        <v>93</v>
      </c>
      <c r="B107" s="7" t="s">
        <v>57</v>
      </c>
      <c r="C107" s="19">
        <f>SUM('BUNGALOW:WIDEHORIZONS, TM'!C107)</f>
        <v>77690</v>
      </c>
      <c r="D107" s="19">
        <f>SUM('BUNGALOW:WIDEHORIZONS, TM'!D107)</f>
        <v>0</v>
      </c>
      <c r="E107" s="54">
        <f>SUM('BUNGALOW:WIDEHORIZONS, TM'!E107)</f>
        <v>77690</v>
      </c>
      <c r="F107" s="19">
        <f>SUM('BUNGALOW:WIDEHORIZONS, TM'!F107)</f>
        <v>6760</v>
      </c>
      <c r="G107" s="54">
        <f>SUM('BUNGALOW:WIDEHORIZONS, TM'!G107)</f>
        <v>84450</v>
      </c>
      <c r="H107" s="124"/>
      <c r="I107" s="124"/>
      <c r="J107" s="8"/>
      <c r="K107" s="109">
        <f t="shared" si="10"/>
        <v>2.2876977115420796E-3</v>
      </c>
      <c r="M107" s="110">
        <f t="shared" si="11"/>
        <v>0.38781761321105634</v>
      </c>
    </row>
    <row r="108" spans="1:13">
      <c r="A108" s="86">
        <v>410</v>
      </c>
      <c r="B108" s="7" t="s">
        <v>56</v>
      </c>
      <c r="C108" s="19">
        <f>SUM('BUNGALOW:WIDEHORIZONS, TM'!C108)</f>
        <v>24178</v>
      </c>
      <c r="D108" s="19">
        <f>SUM('BUNGALOW:WIDEHORIZONS, TM'!D108)</f>
        <v>0</v>
      </c>
      <c r="E108" s="54">
        <f>SUM('BUNGALOW:WIDEHORIZONS, TM'!E108)</f>
        <v>24178</v>
      </c>
      <c r="F108" s="19">
        <f>SUM('BUNGALOW:WIDEHORIZONS, TM'!F108)</f>
        <v>10202</v>
      </c>
      <c r="G108" s="54">
        <f>SUM('BUNGALOW:WIDEHORIZONS, TM'!G108)</f>
        <v>34380</v>
      </c>
      <c r="H108" s="124"/>
      <c r="I108" s="124"/>
      <c r="J108" s="8"/>
      <c r="K108" s="109">
        <f t="shared" si="10"/>
        <v>9.3133270956562099E-4</v>
      </c>
      <c r="M108" s="110">
        <f t="shared" si="11"/>
        <v>0.15788241020954549</v>
      </c>
    </row>
    <row r="109" spans="1:13">
      <c r="A109" s="86" t="s">
        <v>102</v>
      </c>
      <c r="B109" s="7" t="s">
        <v>155</v>
      </c>
      <c r="C109" s="19">
        <f>SUM('BUNGALOW:WIDEHORIZONS, TM'!C109)</f>
        <v>295</v>
      </c>
      <c r="D109" s="19">
        <f>SUM('BUNGALOW:WIDEHORIZONS, TM'!D109)</f>
        <v>0</v>
      </c>
      <c r="E109" s="54">
        <f>SUM('BUNGALOW:WIDEHORIZONS, TM'!E109)</f>
        <v>295</v>
      </c>
      <c r="F109" s="19">
        <f>SUM('BUNGALOW:WIDEHORIZONS, TM'!F109)</f>
        <v>0</v>
      </c>
      <c r="G109" s="54">
        <f>SUM('BUNGALOW:WIDEHORIZONS, TM'!G109)</f>
        <v>295</v>
      </c>
      <c r="H109" s="125"/>
      <c r="I109" s="125"/>
      <c r="J109" s="8"/>
      <c r="K109" s="109">
        <f t="shared" si="10"/>
        <v>7.9913655998213557E-6</v>
      </c>
      <c r="M109" s="110">
        <f t="shared" si="11"/>
        <v>1.3547210881854545E-3</v>
      </c>
    </row>
    <row r="110" spans="1:13" ht="21.75" customHeight="1">
      <c r="A110" s="86"/>
      <c r="B110" s="49" t="s">
        <v>58</v>
      </c>
      <c r="C110" s="54">
        <f>SUM(C104:C109)</f>
        <v>381269</v>
      </c>
      <c r="D110" s="54">
        <f>SUM(D104:D109)</f>
        <v>37161.119999999995</v>
      </c>
      <c r="E110" s="54">
        <f>SUM(E104:E109)</f>
        <v>418430.12</v>
      </c>
      <c r="F110" s="54">
        <f>SUM(F104:F109)</f>
        <v>165643</v>
      </c>
      <c r="G110" s="54">
        <f>SUM(G104:G109)</f>
        <v>584073.12</v>
      </c>
      <c r="H110" s="125"/>
      <c r="I110" s="125"/>
      <c r="J110" s="8"/>
      <c r="K110" s="109">
        <f t="shared" si="10"/>
        <v>1.5822175725248577E-2</v>
      </c>
      <c r="L110" s="68"/>
      <c r="M110" s="110">
        <f t="shared" si="11"/>
        <v>2.6822243142585545</v>
      </c>
    </row>
    <row r="111" spans="1:13">
      <c r="A111" s="86"/>
      <c r="B111" s="7"/>
      <c r="C111" s="41"/>
      <c r="D111" s="41"/>
      <c r="E111" s="41"/>
      <c r="F111" s="41"/>
      <c r="G111" s="41"/>
      <c r="H111" s="126"/>
      <c r="I111" s="126"/>
      <c r="J111" s="8"/>
      <c r="K111" s="12"/>
      <c r="M111" s="13"/>
    </row>
    <row r="112" spans="1:13">
      <c r="A112" s="86" t="s">
        <v>103</v>
      </c>
      <c r="B112" s="7" t="s">
        <v>59</v>
      </c>
      <c r="C112" s="1"/>
      <c r="D112" s="1"/>
      <c r="E112" s="1"/>
      <c r="F112" s="1"/>
      <c r="G112" s="1"/>
      <c r="H112" s="124"/>
      <c r="I112" s="124"/>
      <c r="J112" s="9"/>
      <c r="K112" s="12"/>
      <c r="M112" s="13"/>
    </row>
    <row r="113" spans="1:13">
      <c r="A113" s="86" t="s">
        <v>112</v>
      </c>
      <c r="B113" s="7" t="s">
        <v>40</v>
      </c>
      <c r="C113" s="19">
        <f>SUM('BUNGALOW:WIDEHORIZONS, TM'!C113)</f>
        <v>328215.87</v>
      </c>
      <c r="D113" s="19">
        <f>SUM('BUNGALOW:WIDEHORIZONS, TM'!D113)</f>
        <v>5377.68</v>
      </c>
      <c r="E113" s="54">
        <f>SUM('BUNGALOW:WIDEHORIZONS, TM'!E113)</f>
        <v>333593.55</v>
      </c>
      <c r="F113" s="19">
        <f>SUM('BUNGALOW:WIDEHORIZONS, TM'!F113)</f>
        <v>0</v>
      </c>
      <c r="G113" s="54">
        <f>SUM('BUNGALOW:WIDEHORIZONS, TM'!G113)</f>
        <v>333593.55</v>
      </c>
      <c r="H113" s="137">
        <f>SUM('BUNGALOW:WIDEHORIZONS, TM'!J113)</f>
        <v>33940.5</v>
      </c>
      <c r="I113" s="137">
        <f>SUM('BUNGALOW:WIDEHORIZONS, TM'!K113)</f>
        <v>35462.949999999997</v>
      </c>
      <c r="J113" s="8"/>
      <c r="K113" s="109">
        <f t="shared" ref="K113:K118" si="12">G113/$G$183</f>
        <v>9.0368407450585938E-3</v>
      </c>
      <c r="M113" s="110">
        <f t="shared" ref="M113:M118" si="13">G113/$G$198</f>
        <v>1.5319532781954197</v>
      </c>
    </row>
    <row r="114" spans="1:13">
      <c r="A114" s="86" t="s">
        <v>113</v>
      </c>
      <c r="B114" s="7" t="s">
        <v>41</v>
      </c>
      <c r="C114" s="19">
        <f>SUM('BUNGALOW:WIDEHORIZONS, TM'!C114)</f>
        <v>27613.8</v>
      </c>
      <c r="D114" s="19">
        <f>SUM('BUNGALOW:WIDEHORIZONS, TM'!D114)</f>
        <v>38055.050000000003</v>
      </c>
      <c r="E114" s="54">
        <f>SUM('BUNGALOW:WIDEHORIZONS, TM'!E114)</f>
        <v>65668.850000000006</v>
      </c>
      <c r="F114" s="19">
        <f>SUM('BUNGALOW:WIDEHORIZONS, TM'!F114)</f>
        <v>0</v>
      </c>
      <c r="G114" s="54">
        <f>SUM('BUNGALOW:WIDEHORIZONS, TM'!G114)</f>
        <v>65668.850000000006</v>
      </c>
      <c r="H114" s="124"/>
      <c r="I114" s="124"/>
      <c r="J114" s="8"/>
      <c r="K114" s="109">
        <f t="shared" si="12"/>
        <v>1.7789280978638259E-3</v>
      </c>
      <c r="M114" s="110">
        <f t="shared" si="13"/>
        <v>0.30156940993860132</v>
      </c>
    </row>
    <row r="115" spans="1:13">
      <c r="A115" s="86" t="s">
        <v>119</v>
      </c>
      <c r="B115" s="7" t="s">
        <v>43</v>
      </c>
      <c r="C115" s="19">
        <f>SUM('BUNGALOW:WIDEHORIZONS, TM'!C115)</f>
        <v>146280</v>
      </c>
      <c r="D115" s="19">
        <f>SUM('BUNGALOW:WIDEHORIZONS, TM'!D115)</f>
        <v>0</v>
      </c>
      <c r="E115" s="54">
        <f>SUM('BUNGALOW:WIDEHORIZONS, TM'!E115)</f>
        <v>146280</v>
      </c>
      <c r="F115" s="19">
        <f>SUM('BUNGALOW:WIDEHORIZONS, TM'!F115)</f>
        <v>8754</v>
      </c>
      <c r="G115" s="54">
        <f>SUM('BUNGALOW:WIDEHORIZONS, TM'!G115)</f>
        <v>155034</v>
      </c>
      <c r="H115" s="124"/>
      <c r="I115" s="124"/>
      <c r="J115" s="8"/>
      <c r="K115" s="109">
        <f t="shared" si="12"/>
        <v>4.1997741505176408E-3</v>
      </c>
      <c r="M115" s="110">
        <f t="shared" si="13"/>
        <v>0.71195874300252115</v>
      </c>
    </row>
    <row r="116" spans="1:13">
      <c r="A116" s="86">
        <v>310</v>
      </c>
      <c r="B116" s="7" t="s">
        <v>57</v>
      </c>
      <c r="C116" s="19">
        <f>SUM('BUNGALOW:WIDEHORIZONS, TM'!C116)</f>
        <v>122785</v>
      </c>
      <c r="D116" s="19">
        <f>SUM('BUNGALOW:WIDEHORIZONS, TM'!D116)</f>
        <v>0</v>
      </c>
      <c r="E116" s="54">
        <f>SUM('BUNGALOW:WIDEHORIZONS, TM'!E116)</f>
        <v>122785</v>
      </c>
      <c r="F116" s="19">
        <f>SUM('BUNGALOW:WIDEHORIZONS, TM'!F116)</f>
        <v>11370</v>
      </c>
      <c r="G116" s="54">
        <f>SUM('BUNGALOW:WIDEHORIZONS, TM'!G116)</f>
        <v>134155</v>
      </c>
      <c r="H116" s="124"/>
      <c r="I116" s="124"/>
      <c r="J116" s="8"/>
      <c r="K116" s="109">
        <f t="shared" si="12"/>
        <v>3.6341750916746912E-3</v>
      </c>
      <c r="M116" s="110">
        <f t="shared" si="13"/>
        <v>0.61607663588311745</v>
      </c>
    </row>
    <row r="117" spans="1:13">
      <c r="A117" s="86" t="s">
        <v>102</v>
      </c>
      <c r="B117" s="7" t="s">
        <v>155</v>
      </c>
      <c r="C117" s="19">
        <f>SUM('BUNGALOW:WIDEHORIZONS, TM'!C117)</f>
        <v>1328</v>
      </c>
      <c r="D117" s="19">
        <f>SUM('BUNGALOW:WIDEHORIZONS, TM'!D117)</f>
        <v>7</v>
      </c>
      <c r="E117" s="54">
        <f>SUM('BUNGALOW:WIDEHORIZONS, TM'!E117)</f>
        <v>1335</v>
      </c>
      <c r="F117" s="19">
        <f>SUM('BUNGALOW:WIDEHORIZONS, TM'!F117)</f>
        <v>0</v>
      </c>
      <c r="G117" s="54">
        <f>SUM('BUNGALOW:WIDEHORIZONS, TM'!G117)</f>
        <v>1335</v>
      </c>
      <c r="H117" s="124"/>
      <c r="I117" s="124"/>
      <c r="J117" s="8"/>
      <c r="K117" s="109">
        <f t="shared" si="12"/>
        <v>3.6164315511055963E-5</v>
      </c>
      <c r="M117" s="110">
        <f t="shared" si="13"/>
        <v>6.1306869583985816E-3</v>
      </c>
    </row>
    <row r="118" spans="1:13" ht="22.5" customHeight="1">
      <c r="A118" s="86"/>
      <c r="B118" s="49" t="s">
        <v>60</v>
      </c>
      <c r="C118" s="54">
        <f>SUM(C113:C117)</f>
        <v>626222.66999999993</v>
      </c>
      <c r="D118" s="54">
        <f>SUM(D113:D117)</f>
        <v>43439.73</v>
      </c>
      <c r="E118" s="54">
        <f>SUM(E113:E117)</f>
        <v>669662.4</v>
      </c>
      <c r="F118" s="54">
        <f>SUM(F113:F117)</f>
        <v>20124</v>
      </c>
      <c r="G118" s="54">
        <f>SUM(G113:G117)</f>
        <v>689786.4</v>
      </c>
      <c r="H118" s="125"/>
      <c r="I118" s="125"/>
      <c r="J118" s="8"/>
      <c r="K118" s="109">
        <f t="shared" si="12"/>
        <v>1.8685882400625808E-2</v>
      </c>
      <c r="L118" s="68"/>
      <c r="M118" s="110">
        <f t="shared" si="13"/>
        <v>3.1676887539780583</v>
      </c>
    </row>
    <row r="119" spans="1:13">
      <c r="C119" s="41"/>
      <c r="D119" s="41"/>
      <c r="E119" s="41"/>
      <c r="F119" s="41"/>
      <c r="G119" s="41"/>
      <c r="H119" s="125"/>
      <c r="I119" s="125"/>
      <c r="J119" s="9"/>
      <c r="K119" s="12"/>
      <c r="M119" s="13"/>
    </row>
    <row r="120" spans="1:13">
      <c r="A120" s="86" t="s">
        <v>104</v>
      </c>
      <c r="B120" s="7" t="s">
        <v>61</v>
      </c>
      <c r="C120" s="1"/>
      <c r="D120" s="1"/>
      <c r="E120" s="1"/>
      <c r="F120" s="1"/>
      <c r="G120" s="1"/>
      <c r="H120" s="126"/>
      <c r="I120" s="126"/>
      <c r="J120" s="9"/>
      <c r="K120" s="12"/>
      <c r="M120" s="13"/>
    </row>
    <row r="121" spans="1:13">
      <c r="A121" s="86" t="s">
        <v>112</v>
      </c>
      <c r="B121" s="7" t="s">
        <v>63</v>
      </c>
      <c r="C121" s="19">
        <f>SUM('BUNGALOW:WIDEHORIZONS, TM'!C121)</f>
        <v>534469.65</v>
      </c>
      <c r="D121" s="19">
        <f>SUM('BUNGALOW:WIDEHORIZONS, TM'!D121)</f>
        <v>6514.2199999999993</v>
      </c>
      <c r="E121" s="54">
        <f>SUM('BUNGALOW:WIDEHORIZONS, TM'!E121)</f>
        <v>540983.87</v>
      </c>
      <c r="F121" s="19">
        <f>SUM('BUNGALOW:WIDEHORIZONS, TM'!F121)</f>
        <v>310549</v>
      </c>
      <c r="G121" s="54">
        <f>SUM('BUNGALOW:WIDEHORIZONS, TM'!G121)</f>
        <v>851532.87</v>
      </c>
      <c r="H121" s="137">
        <f>SUM('BUNGALOW:WIDEHORIZONS, TM'!J121)</f>
        <v>32610.20666666668</v>
      </c>
      <c r="I121" s="137">
        <f>SUM('BUNGALOW:WIDEHORIZONS, TM'!K121)</f>
        <v>34999.039999999994</v>
      </c>
      <c r="J121" s="8"/>
      <c r="K121" s="109">
        <f t="shared" ref="K121:K139" si="14">G121/$G$183</f>
        <v>2.306749316757678E-2</v>
      </c>
      <c r="M121" s="110">
        <f t="shared" ref="M121:M126" si="15">G121/$G$198</f>
        <v>3.9104730043121463</v>
      </c>
    </row>
    <row r="122" spans="1:13">
      <c r="A122" s="86" t="s">
        <v>135</v>
      </c>
      <c r="B122" s="7" t="s">
        <v>65</v>
      </c>
      <c r="C122" s="19">
        <f>SUM('BUNGALOW:WIDEHORIZONS, TM'!C122)</f>
        <v>39616.880000000005</v>
      </c>
      <c r="D122" s="19">
        <f>SUM('BUNGALOW:WIDEHORIZONS, TM'!D122)</f>
        <v>37809.279999999999</v>
      </c>
      <c r="E122" s="54">
        <f>SUM('BUNGALOW:WIDEHORIZONS, TM'!E122)</f>
        <v>77426.16</v>
      </c>
      <c r="F122" s="19">
        <f>SUM('BUNGALOW:WIDEHORIZONS, TM'!F122)</f>
        <v>31460</v>
      </c>
      <c r="G122" s="54">
        <f>SUM('BUNGALOW:WIDEHORIZONS, TM'!G122)</f>
        <v>108886.16</v>
      </c>
      <c r="H122" s="139"/>
      <c r="I122" s="140"/>
      <c r="J122" s="8"/>
      <c r="K122" s="109">
        <f t="shared" si="14"/>
        <v>2.9496580112564207E-3</v>
      </c>
      <c r="M122" s="110">
        <f t="shared" si="15"/>
        <v>0.5000351768255441</v>
      </c>
    </row>
    <row r="123" spans="1:13">
      <c r="A123" s="86" t="s">
        <v>113</v>
      </c>
      <c r="B123" s="7" t="s">
        <v>67</v>
      </c>
      <c r="C123" s="19">
        <f>SUM('BUNGALOW:WIDEHORIZONS, TM'!C123)</f>
        <v>5133936</v>
      </c>
      <c r="D123" s="19">
        <f>SUM('BUNGALOW:WIDEHORIZONS, TM'!D123)</f>
        <v>100330.58</v>
      </c>
      <c r="E123" s="54">
        <f>SUM('BUNGALOW:WIDEHORIZONS, TM'!E123)</f>
        <v>5234266.58</v>
      </c>
      <c r="F123" s="19">
        <f>SUM('BUNGALOW:WIDEHORIZONS, TM'!F123)</f>
        <v>209722</v>
      </c>
      <c r="G123" s="54">
        <f>SUM('BUNGALOW:WIDEHORIZONS, TM'!G123)</f>
        <v>5443988.5800000001</v>
      </c>
      <c r="H123" s="137">
        <f>SUM('BUNGALOW:WIDEHORIZONS, TM'!J123)</f>
        <v>425747.98666666669</v>
      </c>
      <c r="I123" s="137">
        <f>SUM('BUNGALOW:WIDEHORIZONS, TM'!K123)</f>
        <v>443687.92333333334</v>
      </c>
      <c r="J123" s="8"/>
      <c r="K123" s="109">
        <f t="shared" si="14"/>
        <v>0.14747424767468578</v>
      </c>
      <c r="M123" s="110">
        <f t="shared" si="15"/>
        <v>25.000291976836564</v>
      </c>
    </row>
    <row r="124" spans="1:13">
      <c r="A124" s="86" t="s">
        <v>136</v>
      </c>
      <c r="B124" s="7" t="s">
        <v>275</v>
      </c>
      <c r="C124" s="19">
        <f>SUM('BUNGALOW:WIDEHORIZONS, TM'!C124)</f>
        <v>173389</v>
      </c>
      <c r="D124" s="19">
        <f>SUM('BUNGALOW:WIDEHORIZONS, TM'!D124)</f>
        <v>726254.45</v>
      </c>
      <c r="E124" s="54">
        <f>SUM('BUNGALOW:WIDEHORIZONS, TM'!E124)</f>
        <v>899643.45</v>
      </c>
      <c r="F124" s="19">
        <f>SUM('BUNGALOW:WIDEHORIZONS, TM'!F124)</f>
        <v>21282</v>
      </c>
      <c r="G124" s="54">
        <f>SUM('BUNGALOW:WIDEHORIZONS, TM'!G124)</f>
        <v>920925.45</v>
      </c>
      <c r="H124" s="153"/>
      <c r="I124" s="153"/>
      <c r="J124" s="8"/>
      <c r="K124" s="109">
        <f t="shared" si="14"/>
        <v>2.494729478349153E-2</v>
      </c>
      <c r="M124" s="110">
        <f t="shared" si="15"/>
        <v>4.2291428059717937</v>
      </c>
    </row>
    <row r="125" spans="1:13">
      <c r="A125" s="86" t="s">
        <v>149</v>
      </c>
      <c r="B125" s="7" t="s">
        <v>150</v>
      </c>
      <c r="C125" s="19">
        <f>SUM('BUNGALOW:WIDEHORIZONS, TM'!C125)</f>
        <v>70336</v>
      </c>
      <c r="D125" s="19">
        <f>SUM('BUNGALOW:WIDEHORIZONS, TM'!D125)</f>
        <v>0</v>
      </c>
      <c r="E125" s="54">
        <f>SUM('BUNGALOW:WIDEHORIZONS, TM'!E125)</f>
        <v>70336</v>
      </c>
      <c r="F125" s="19">
        <f>SUM('BUNGALOW:WIDEHORIZONS, TM'!F125)</f>
        <v>0</v>
      </c>
      <c r="G125" s="54">
        <f>SUM('BUNGALOW:WIDEHORIZONS, TM'!G125)</f>
        <v>70336</v>
      </c>
      <c r="H125" s="137">
        <f>SUM('BUNGALOW:WIDEHORIZONS, TM'!J125)</f>
        <v>260</v>
      </c>
      <c r="I125" s="137">
        <f>SUM('BUNGALOW:WIDEHORIZONS, TM'!K125)</f>
        <v>260</v>
      </c>
      <c r="J125" s="8"/>
      <c r="K125" s="109">
        <f t="shared" si="14"/>
        <v>1.9053582739967283E-3</v>
      </c>
      <c r="M125" s="110">
        <f t="shared" si="15"/>
        <v>0.32300224562241397</v>
      </c>
    </row>
    <row r="126" spans="1:13">
      <c r="A126" s="86" t="s">
        <v>119</v>
      </c>
      <c r="B126" s="7" t="s">
        <v>69</v>
      </c>
      <c r="C126" s="19">
        <f>SUM('BUNGALOW:WIDEHORIZONS, TM'!C126)</f>
        <v>337537</v>
      </c>
      <c r="D126" s="19">
        <f>SUM('BUNGALOW:WIDEHORIZONS, TM'!D126)</f>
        <v>185</v>
      </c>
      <c r="E126" s="54">
        <f>SUM('BUNGALOW:WIDEHORIZONS, TM'!E126)</f>
        <v>337722</v>
      </c>
      <c r="F126" s="19">
        <f>SUM('BUNGALOW:WIDEHORIZONS, TM'!F126)</f>
        <v>46871</v>
      </c>
      <c r="G126" s="54">
        <f>SUM('BUNGALOW:WIDEHORIZONS, TM'!G126)</f>
        <v>384593</v>
      </c>
      <c r="H126" s="143"/>
      <c r="I126" s="143"/>
      <c r="J126" s="8"/>
      <c r="K126" s="109">
        <f t="shared" si="14"/>
        <v>1.0418383966549472E-2</v>
      </c>
      <c r="M126" s="110">
        <f t="shared" si="15"/>
        <v>1.7661567710796897</v>
      </c>
    </row>
    <row r="127" spans="1:13">
      <c r="A127" s="86">
        <v>111</v>
      </c>
      <c r="B127" s="7" t="s">
        <v>107</v>
      </c>
      <c r="C127" s="19">
        <f>SUM('BUNGALOW:WIDEHORIZONS, TM'!C127)</f>
        <v>3237</v>
      </c>
      <c r="D127" s="19">
        <f>SUM('BUNGALOW:WIDEHORIZONS, TM'!D127)</f>
        <v>0</v>
      </c>
      <c r="E127" s="54">
        <f>SUM('BUNGALOW:WIDEHORIZONS, TM'!E127)</f>
        <v>3237</v>
      </c>
      <c r="F127" s="19">
        <f>SUM('BUNGALOW:WIDEHORIZONS, TM'!F127)</f>
        <v>0</v>
      </c>
      <c r="G127" s="54">
        <f>SUM('BUNGALOW:WIDEHORIZONS, TM'!G127)</f>
        <v>3237</v>
      </c>
      <c r="H127" s="143"/>
      <c r="I127" s="143"/>
      <c r="J127" s="8"/>
      <c r="K127" s="109">
        <f t="shared" si="14"/>
        <v>8.7688306598717719E-5</v>
      </c>
      <c r="M127" s="110">
        <f t="shared" ref="M127:M138" si="16">G127/$G$198</f>
        <v>1.4865193771038359E-2</v>
      </c>
    </row>
    <row r="128" spans="1:13">
      <c r="A128" s="86" t="s">
        <v>130</v>
      </c>
      <c r="B128" s="7" t="s">
        <v>108</v>
      </c>
      <c r="C128" s="19">
        <f>SUM('BUNGALOW:WIDEHORIZONS, TM'!C128)</f>
        <v>0</v>
      </c>
      <c r="D128" s="19">
        <f>SUM('BUNGALOW:WIDEHORIZONS, TM'!D128)</f>
        <v>0</v>
      </c>
      <c r="E128" s="54">
        <f>SUM('BUNGALOW:WIDEHORIZONS, TM'!E128)</f>
        <v>0</v>
      </c>
      <c r="F128" s="19">
        <f>SUM('BUNGALOW:WIDEHORIZONS, TM'!F128)</f>
        <v>0</v>
      </c>
      <c r="G128" s="54">
        <f>SUM('BUNGALOW:WIDEHORIZONS, TM'!G128)</f>
        <v>0</v>
      </c>
      <c r="H128" s="126"/>
      <c r="I128" s="126"/>
      <c r="J128" s="8"/>
      <c r="K128" s="109">
        <f t="shared" si="14"/>
        <v>0</v>
      </c>
      <c r="M128" s="110">
        <f t="shared" si="16"/>
        <v>0</v>
      </c>
    </row>
    <row r="129" spans="1:13">
      <c r="A129" s="86" t="s">
        <v>93</v>
      </c>
      <c r="B129" s="7" t="s">
        <v>77</v>
      </c>
      <c r="C129" s="19">
        <f>SUM('BUNGALOW:WIDEHORIZONS, TM'!C129)</f>
        <v>59136</v>
      </c>
      <c r="D129" s="19">
        <f>SUM('BUNGALOW:WIDEHORIZONS, TM'!D129)</f>
        <v>0</v>
      </c>
      <c r="E129" s="54">
        <f>SUM('BUNGALOW:WIDEHORIZONS, TM'!E129)</f>
        <v>59136</v>
      </c>
      <c r="F129" s="19">
        <f>SUM('BUNGALOW:WIDEHORIZONS, TM'!F129)</f>
        <v>81123</v>
      </c>
      <c r="G129" s="54">
        <f>SUM('BUNGALOW:WIDEHORIZONS, TM'!G129)</f>
        <v>140259</v>
      </c>
      <c r="H129" s="126"/>
      <c r="I129" s="126"/>
      <c r="J129" s="8"/>
      <c r="K129" s="109">
        <f t="shared" si="14"/>
        <v>3.7995286361537065E-3</v>
      </c>
      <c r="M129" s="110">
        <f t="shared" si="16"/>
        <v>0.64410788172136835</v>
      </c>
    </row>
    <row r="130" spans="1:13">
      <c r="A130" s="86">
        <v>330</v>
      </c>
      <c r="B130" s="7" t="s">
        <v>311</v>
      </c>
      <c r="C130" s="19">
        <f>SUM('BUNGALOW:WIDEHORIZONS, TM'!C130)</f>
        <v>23462</v>
      </c>
      <c r="D130" s="19">
        <f>SUM('BUNGALOW:WIDEHORIZONS, TM'!D130)</f>
        <v>0</v>
      </c>
      <c r="E130" s="54">
        <f>SUM('BUNGALOW:WIDEHORIZONS, TM'!E130)</f>
        <v>23462</v>
      </c>
      <c r="F130" s="19">
        <f>SUM('BUNGALOW:WIDEHORIZONS, TM'!F130)</f>
        <v>0</v>
      </c>
      <c r="G130" s="54">
        <f>SUM('BUNGALOW:WIDEHORIZONS, TM'!G130)</f>
        <v>23462</v>
      </c>
      <c r="H130" s="126"/>
      <c r="I130" s="126"/>
      <c r="J130" s="8"/>
      <c r="K130" s="109">
        <f t="shared" si="14"/>
        <v>6.3557091424748687E-4</v>
      </c>
      <c r="M130" s="110">
        <f t="shared" si="16"/>
        <v>0.10774395312205808</v>
      </c>
    </row>
    <row r="131" spans="1:13">
      <c r="A131" s="86" t="s">
        <v>100</v>
      </c>
      <c r="B131" s="7" t="s">
        <v>70</v>
      </c>
      <c r="C131" s="19">
        <f>SUM('BUNGALOW:WIDEHORIZONS, TM'!C131)</f>
        <v>7639</v>
      </c>
      <c r="D131" s="19">
        <f>SUM('BUNGALOW:WIDEHORIZONS, TM'!D131)</f>
        <v>0</v>
      </c>
      <c r="E131" s="54">
        <f>SUM('BUNGALOW:WIDEHORIZONS, TM'!E131)</f>
        <v>7639</v>
      </c>
      <c r="F131" s="19">
        <f>SUM('BUNGALOW:WIDEHORIZONS, TM'!F131)</f>
        <v>0</v>
      </c>
      <c r="G131" s="54">
        <f>SUM('BUNGALOW:WIDEHORIZONS, TM'!G131)</f>
        <v>7639</v>
      </c>
      <c r="H131" s="124"/>
      <c r="I131" s="124"/>
      <c r="J131" s="8"/>
      <c r="K131" s="109">
        <f t="shared" si="14"/>
        <v>2.0693573497300113E-4</v>
      </c>
      <c r="M131" s="110">
        <f t="shared" si="16"/>
        <v>3.5080387771690459E-2</v>
      </c>
    </row>
    <row r="132" spans="1:13">
      <c r="B132" s="156" t="s">
        <v>234</v>
      </c>
      <c r="C132" s="157"/>
      <c r="D132" s="157"/>
      <c r="E132" s="158"/>
      <c r="F132" s="157"/>
      <c r="G132" s="158"/>
      <c r="H132" s="124"/>
      <c r="I132" s="124"/>
      <c r="J132" s="8"/>
      <c r="K132" s="109">
        <f t="shared" si="14"/>
        <v>0</v>
      </c>
      <c r="M132" s="110">
        <f t="shared" si="16"/>
        <v>0</v>
      </c>
    </row>
    <row r="133" spans="1:13">
      <c r="A133" s="86">
        <v>440.1</v>
      </c>
      <c r="B133" s="61" t="s">
        <v>151</v>
      </c>
      <c r="C133" s="19">
        <f>SUM('BUNGALOW:WIDEHORIZONS, TM'!C133)</f>
        <v>275</v>
      </c>
      <c r="D133" s="19">
        <f>SUM('BUNGALOW:WIDEHORIZONS, TM'!D133)</f>
        <v>0</v>
      </c>
      <c r="E133" s="54">
        <f>SUM('BUNGALOW:WIDEHORIZONS, TM'!E133)</f>
        <v>275</v>
      </c>
      <c r="F133" s="19">
        <f>SUM('BUNGALOW:WIDEHORIZONS, TM'!F133)</f>
        <v>0</v>
      </c>
      <c r="G133" s="54">
        <f>SUM('BUNGALOW:WIDEHORIZONS, TM'!G133)</f>
        <v>275</v>
      </c>
      <c r="H133" s="124"/>
      <c r="I133" s="124"/>
      <c r="J133" s="8"/>
      <c r="K133" s="109">
        <f t="shared" si="14"/>
        <v>7.4495781015283816E-6</v>
      </c>
      <c r="M133" s="110">
        <f t="shared" si="16"/>
        <v>1.2628755906813557E-3</v>
      </c>
    </row>
    <row r="134" spans="1:13">
      <c r="A134" s="4">
        <v>440.2</v>
      </c>
      <c r="B134" s="4" t="s">
        <v>152</v>
      </c>
      <c r="C134" s="19">
        <f>SUM('BUNGALOW:WIDEHORIZONS, TM'!C134)</f>
        <v>1700</v>
      </c>
      <c r="D134" s="19">
        <f>SUM('BUNGALOW:WIDEHORIZONS, TM'!D134)</f>
        <v>0</v>
      </c>
      <c r="E134" s="54">
        <f>SUM('BUNGALOW:WIDEHORIZONS, TM'!E134)</f>
        <v>1700</v>
      </c>
      <c r="F134" s="19">
        <f>SUM('BUNGALOW:WIDEHORIZONS, TM'!F134)</f>
        <v>0</v>
      </c>
      <c r="G134" s="54">
        <f>SUM('BUNGALOW:WIDEHORIZONS, TM'!G134)</f>
        <v>1700</v>
      </c>
      <c r="H134" s="138"/>
      <c r="I134" s="138"/>
      <c r="J134" s="8"/>
      <c r="K134" s="109">
        <f t="shared" si="14"/>
        <v>4.6051937354902725E-5</v>
      </c>
      <c r="M134" s="110">
        <f t="shared" si="16"/>
        <v>7.8068672878483817E-3</v>
      </c>
    </row>
    <row r="135" spans="1:13">
      <c r="A135" s="86">
        <v>440.3</v>
      </c>
      <c r="B135" s="4" t="s">
        <v>153</v>
      </c>
      <c r="C135" s="19">
        <f>SUM('BUNGALOW:WIDEHORIZONS, TM'!C135)</f>
        <v>0</v>
      </c>
      <c r="D135" s="19">
        <f>SUM('BUNGALOW:WIDEHORIZONS, TM'!D135)</f>
        <v>0</v>
      </c>
      <c r="E135" s="54">
        <f>SUM('BUNGALOW:WIDEHORIZONS, TM'!E135)</f>
        <v>0</v>
      </c>
      <c r="F135" s="19">
        <f>SUM('BUNGALOW:WIDEHORIZONS, TM'!F135)</f>
        <v>0</v>
      </c>
      <c r="G135" s="54">
        <f>SUM('BUNGALOW:WIDEHORIZONS, TM'!G135)</f>
        <v>0</v>
      </c>
      <c r="H135" s="138"/>
      <c r="I135" s="138"/>
      <c r="J135" s="8"/>
      <c r="K135" s="109">
        <f t="shared" si="14"/>
        <v>0</v>
      </c>
      <c r="M135" s="110">
        <f t="shared" si="16"/>
        <v>0</v>
      </c>
    </row>
    <row r="136" spans="1:13">
      <c r="A136" s="4">
        <v>440.4</v>
      </c>
      <c r="B136" s="4" t="s">
        <v>154</v>
      </c>
      <c r="C136" s="19">
        <f>SUM('BUNGALOW:WIDEHORIZONS, TM'!C136)</f>
        <v>80</v>
      </c>
      <c r="D136" s="19">
        <f>SUM('BUNGALOW:WIDEHORIZONS, TM'!D136)</f>
        <v>0</v>
      </c>
      <c r="E136" s="54">
        <f>SUM('BUNGALOW:WIDEHORIZONS, TM'!E136)</f>
        <v>80</v>
      </c>
      <c r="F136" s="19">
        <f>SUM('BUNGALOW:WIDEHORIZONS, TM'!F136)</f>
        <v>0</v>
      </c>
      <c r="G136" s="54">
        <f>SUM('BUNGALOW:WIDEHORIZONS, TM'!G136)</f>
        <v>80</v>
      </c>
      <c r="H136" s="124"/>
      <c r="I136" s="124"/>
      <c r="J136" s="8"/>
      <c r="K136" s="109">
        <f t="shared" si="14"/>
        <v>2.167149993171893E-6</v>
      </c>
      <c r="M136" s="110">
        <f t="shared" si="16"/>
        <v>3.673819900163944E-4</v>
      </c>
    </row>
    <row r="137" spans="1:13">
      <c r="A137" s="86">
        <v>440.5</v>
      </c>
      <c r="B137" s="4" t="s">
        <v>155</v>
      </c>
      <c r="C137" s="19">
        <f>SUM('BUNGALOW:WIDEHORIZONS, TM'!C137)</f>
        <v>695</v>
      </c>
      <c r="D137" s="19">
        <f>SUM('BUNGALOW:WIDEHORIZONS, TM'!D137)</f>
        <v>0</v>
      </c>
      <c r="E137" s="54">
        <f>SUM('BUNGALOW:WIDEHORIZONS, TM'!E137)</f>
        <v>695</v>
      </c>
      <c r="F137" s="19">
        <f>SUM('BUNGALOW:WIDEHORIZONS, TM'!F137)</f>
        <v>0</v>
      </c>
      <c r="G137" s="54">
        <f>SUM('BUNGALOW:WIDEHORIZONS, TM'!G137)</f>
        <v>695</v>
      </c>
      <c r="H137" s="124"/>
      <c r="I137" s="124"/>
      <c r="J137" s="8"/>
      <c r="K137" s="109">
        <f t="shared" si="14"/>
        <v>1.8827115565680819E-5</v>
      </c>
      <c r="M137" s="110">
        <f t="shared" si="16"/>
        <v>3.1916310382674264E-3</v>
      </c>
    </row>
    <row r="138" spans="1:13">
      <c r="A138" s="86">
        <v>490</v>
      </c>
      <c r="B138" s="7" t="s">
        <v>155</v>
      </c>
      <c r="C138" s="19">
        <f>SUM('BUNGALOW:WIDEHORIZONS, TM'!C138)</f>
        <v>71529</v>
      </c>
      <c r="D138" s="19">
        <f>SUM('BUNGALOW:WIDEHORIZONS, TM'!D138)</f>
        <v>78271</v>
      </c>
      <c r="E138" s="54">
        <f>SUM('BUNGALOW:WIDEHORIZONS, TM'!E138)</f>
        <v>149800</v>
      </c>
      <c r="F138" s="19">
        <f>SUM('BUNGALOW:WIDEHORIZONS, TM'!F138)</f>
        <v>0</v>
      </c>
      <c r="G138" s="54">
        <f>SUM('BUNGALOW:WIDEHORIZONS, TM'!G138)</f>
        <v>149800</v>
      </c>
      <c r="H138" s="124"/>
      <c r="I138" s="124"/>
      <c r="J138" s="8"/>
      <c r="K138" s="109">
        <f t="shared" si="14"/>
        <v>4.0579883622143698E-3</v>
      </c>
      <c r="M138" s="110">
        <f t="shared" si="16"/>
        <v>0.68792277630569854</v>
      </c>
    </row>
    <row r="139" spans="1:13" ht="21" customHeight="1">
      <c r="A139" s="86"/>
      <c r="B139" s="49" t="s">
        <v>71</v>
      </c>
      <c r="C139" s="54">
        <f>SUM(C121:C138)</f>
        <v>6457037.5300000003</v>
      </c>
      <c r="D139" s="54">
        <f>SUM(D121:D138)</f>
        <v>949364.53</v>
      </c>
      <c r="E139" s="54">
        <f>SUM(E121:E138)</f>
        <v>7406402.0600000005</v>
      </c>
      <c r="F139" s="54">
        <f>SUM(F121:F138)</f>
        <v>701007</v>
      </c>
      <c r="G139" s="54">
        <f>SUM(G121:G138)</f>
        <v>8107409.0600000005</v>
      </c>
      <c r="H139" s="124"/>
      <c r="I139" s="124"/>
      <c r="J139" s="8"/>
      <c r="K139" s="109">
        <f t="shared" si="14"/>
        <v>0.2196246436127593</v>
      </c>
      <c r="L139" s="68"/>
      <c r="M139" s="110">
        <f>G139/$G$198</f>
        <v>37.231450929246826</v>
      </c>
    </row>
    <row r="140" spans="1:13">
      <c r="C140" s="41"/>
      <c r="D140" s="41"/>
      <c r="E140" s="41"/>
      <c r="F140" s="41"/>
      <c r="G140" s="41"/>
      <c r="H140" s="124"/>
      <c r="I140" s="124"/>
      <c r="J140" s="9"/>
      <c r="K140" s="12"/>
      <c r="M140" s="13"/>
    </row>
    <row r="141" spans="1:13">
      <c r="A141" s="86" t="s">
        <v>105</v>
      </c>
      <c r="B141" s="7" t="s">
        <v>72</v>
      </c>
      <c r="C141" s="1"/>
      <c r="D141" s="1"/>
      <c r="E141" s="1"/>
      <c r="F141" s="1"/>
      <c r="G141" s="1"/>
      <c r="H141" s="138"/>
      <c r="I141" s="138"/>
      <c r="J141" s="9"/>
      <c r="K141" s="12"/>
      <c r="M141" s="13"/>
    </row>
    <row r="142" spans="1:13">
      <c r="A142" s="86" t="s">
        <v>112</v>
      </c>
      <c r="B142" s="7" t="s">
        <v>73</v>
      </c>
      <c r="C142" s="19">
        <f>SUM('BUNGALOW:WIDEHORIZONS, TM'!C142)</f>
        <v>568297.38</v>
      </c>
      <c r="D142" s="19">
        <f>SUM('BUNGALOW:WIDEHORIZONS, TM'!D142)</f>
        <v>5357.2</v>
      </c>
      <c r="E142" s="54">
        <f>SUM('BUNGALOW:WIDEHORIZONS, TM'!E142)</f>
        <v>573654.58000000007</v>
      </c>
      <c r="F142" s="19">
        <f>SUM('BUNGALOW:WIDEHORIZONS, TM'!F142)</f>
        <v>0</v>
      </c>
      <c r="G142" s="54">
        <f>SUM('BUNGALOW:WIDEHORIZONS, TM'!G142)</f>
        <v>573654.58000000007</v>
      </c>
      <c r="H142" s="137">
        <f>SUM('BUNGALOW:WIDEHORIZONS, TM'!J142)</f>
        <v>39289.26</v>
      </c>
      <c r="I142" s="137">
        <f>SUM('BUNGALOW:WIDEHORIZONS, TM'!K142)</f>
        <v>41141.9</v>
      </c>
      <c r="J142" s="8"/>
      <c r="K142" s="109">
        <f t="shared" ref="K142:K147" si="17">G142/$G$183</f>
        <v>1.5539943989125315E-2</v>
      </c>
      <c r="M142" s="110">
        <f t="shared" ref="M142:M147" si="18">G142/$G$198</f>
        <v>2.6343795147802371</v>
      </c>
    </row>
    <row r="143" spans="1:13">
      <c r="A143" s="86" t="s">
        <v>113</v>
      </c>
      <c r="B143" s="7" t="s">
        <v>41</v>
      </c>
      <c r="C143" s="19">
        <f>SUM('BUNGALOW:WIDEHORIZONS, TM'!C143)</f>
        <v>56362.11</v>
      </c>
      <c r="D143" s="19">
        <f>SUM('BUNGALOW:WIDEHORIZONS, TM'!D143)</f>
        <v>36309.26</v>
      </c>
      <c r="E143" s="54">
        <f>SUM('BUNGALOW:WIDEHORIZONS, TM'!E143)</f>
        <v>92671.37</v>
      </c>
      <c r="F143" s="19">
        <f>SUM('BUNGALOW:WIDEHORIZONS, TM'!F143)</f>
        <v>0</v>
      </c>
      <c r="G143" s="54">
        <f>SUM('BUNGALOW:WIDEHORIZONS, TM'!G143)</f>
        <v>92671.37</v>
      </c>
      <c r="H143" s="124"/>
      <c r="I143" s="124"/>
      <c r="J143" s="8"/>
      <c r="K143" s="109">
        <f t="shared" si="17"/>
        <v>2.5104094857841242E-3</v>
      </c>
      <c r="M143" s="110">
        <f t="shared" si="18"/>
        <v>0.4255724041018199</v>
      </c>
    </row>
    <row r="144" spans="1:13">
      <c r="A144" s="86">
        <v>110</v>
      </c>
      <c r="B144" s="7" t="s">
        <v>258</v>
      </c>
      <c r="C144" s="19">
        <f>SUM('BUNGALOW:WIDEHORIZONS, TM'!C144)</f>
        <v>48928</v>
      </c>
      <c r="D144" s="19">
        <f>SUM('BUNGALOW:WIDEHORIZONS, TM'!D144)</f>
        <v>1728</v>
      </c>
      <c r="E144" s="54">
        <f>SUM('BUNGALOW:WIDEHORIZONS, TM'!E144)</f>
        <v>50656</v>
      </c>
      <c r="F144" s="19">
        <f>SUM('BUNGALOW:WIDEHORIZONS, TM'!F144)</f>
        <v>0</v>
      </c>
      <c r="G144" s="54">
        <f>SUM('BUNGALOW:WIDEHORIZONS, TM'!G144)</f>
        <v>50656</v>
      </c>
      <c r="H144" s="124"/>
      <c r="I144" s="124"/>
      <c r="J144" s="8"/>
      <c r="K144" s="109">
        <f t="shared" si="17"/>
        <v>1.3722393756764426E-3</v>
      </c>
      <c r="M144" s="110">
        <f t="shared" si="18"/>
        <v>0.23262627607838096</v>
      </c>
    </row>
    <row r="145" spans="1:13">
      <c r="A145" s="86" t="s">
        <v>93</v>
      </c>
      <c r="B145" s="7" t="s">
        <v>53</v>
      </c>
      <c r="C145" s="19">
        <f>SUM('BUNGALOW:WIDEHORIZONS, TM'!C145)</f>
        <v>14545</v>
      </c>
      <c r="D145" s="19">
        <f>SUM('BUNGALOW:WIDEHORIZONS, TM'!D145)</f>
        <v>249</v>
      </c>
      <c r="E145" s="54">
        <f>SUM('BUNGALOW:WIDEHORIZONS, TM'!E145)</f>
        <v>14794</v>
      </c>
      <c r="F145" s="19">
        <f>SUM('BUNGALOW:WIDEHORIZONS, TM'!F145)</f>
        <v>0</v>
      </c>
      <c r="G145" s="54">
        <f>SUM('BUNGALOW:WIDEHORIZONS, TM'!G145)</f>
        <v>14794</v>
      </c>
      <c r="H145" s="124"/>
      <c r="I145" s="124"/>
      <c r="J145" s="8"/>
      <c r="K145" s="109">
        <f t="shared" si="17"/>
        <v>4.0076021248731231E-4</v>
      </c>
      <c r="M145" s="110">
        <f t="shared" si="18"/>
        <v>6.7938114503781732E-2</v>
      </c>
    </row>
    <row r="146" spans="1:13">
      <c r="A146" s="86" t="s">
        <v>106</v>
      </c>
      <c r="B146" s="7" t="s">
        <v>74</v>
      </c>
      <c r="C146" s="19">
        <f>SUM('BUNGALOW:WIDEHORIZONS, TM'!C146)</f>
        <v>17580</v>
      </c>
      <c r="D146" s="19">
        <f>SUM('BUNGALOW:WIDEHORIZONS, TM'!D146)</f>
        <v>3</v>
      </c>
      <c r="E146" s="54">
        <f>SUM('BUNGALOW:WIDEHORIZONS, TM'!E146)</f>
        <v>17583</v>
      </c>
      <c r="F146" s="19">
        <f>SUM('BUNGALOW:WIDEHORIZONS, TM'!F146)</f>
        <v>19755</v>
      </c>
      <c r="G146" s="54">
        <f>SUM('BUNGALOW:WIDEHORIZONS, TM'!G146)</f>
        <v>37338</v>
      </c>
      <c r="H146" s="124"/>
      <c r="I146" s="124"/>
      <c r="J146" s="8"/>
      <c r="K146" s="109">
        <f t="shared" si="17"/>
        <v>1.0114630805631516E-3</v>
      </c>
      <c r="M146" s="110">
        <f t="shared" si="18"/>
        <v>0.17146635929040169</v>
      </c>
    </row>
    <row r="147" spans="1:13" ht="20.25" customHeight="1">
      <c r="A147" s="86"/>
      <c r="B147" s="49" t="s">
        <v>303</v>
      </c>
      <c r="C147" s="54">
        <f>SUM(C142:C146)</f>
        <v>705712.49</v>
      </c>
      <c r="D147" s="54">
        <f>SUM(D142:D146)</f>
        <v>43646.46</v>
      </c>
      <c r="E147" s="54">
        <f>SUM(E142:E146)</f>
        <v>749358.95000000007</v>
      </c>
      <c r="F147" s="54">
        <f>SUM(F142:F146)</f>
        <v>19755</v>
      </c>
      <c r="G147" s="54">
        <f>SUM(G142:G146)</f>
        <v>769113.95000000007</v>
      </c>
      <c r="H147" s="124"/>
      <c r="I147" s="124"/>
      <c r="J147" s="8"/>
      <c r="K147" s="109">
        <f t="shared" si="17"/>
        <v>2.0834816143636348E-2</v>
      </c>
      <c r="L147" s="68"/>
      <c r="M147" s="110">
        <f t="shared" si="18"/>
        <v>3.5319826687546212</v>
      </c>
    </row>
    <row r="148" spans="1:13">
      <c r="C148" s="41"/>
      <c r="D148" s="41"/>
      <c r="E148" s="41"/>
      <c r="F148" s="41"/>
      <c r="G148" s="41"/>
      <c r="H148" s="124"/>
      <c r="I148" s="124"/>
      <c r="J148" s="9"/>
      <c r="K148" s="12"/>
      <c r="M148" s="13"/>
    </row>
    <row r="149" spans="1:13">
      <c r="A149" s="86" t="s">
        <v>137</v>
      </c>
      <c r="B149" s="7" t="s">
        <v>75</v>
      </c>
      <c r="C149" s="1"/>
      <c r="D149" s="1"/>
      <c r="E149" s="1"/>
      <c r="F149" s="1"/>
      <c r="G149" s="1"/>
      <c r="H149" s="124"/>
      <c r="I149" s="124"/>
      <c r="J149" s="9"/>
      <c r="K149" s="12"/>
      <c r="M149" s="13"/>
    </row>
    <row r="150" spans="1:13">
      <c r="A150" s="86" t="s">
        <v>112</v>
      </c>
      <c r="B150" s="7" t="s">
        <v>40</v>
      </c>
      <c r="C150" s="19">
        <f>SUM('BUNGALOW:WIDEHORIZONS, TM'!C150)</f>
        <v>3436513.95</v>
      </c>
      <c r="D150" s="19">
        <f>SUM('BUNGALOW:WIDEHORIZONS, TM'!D150)</f>
        <v>37052.890000000007</v>
      </c>
      <c r="E150" s="54">
        <f>SUM('BUNGALOW:WIDEHORIZONS, TM'!E150)</f>
        <v>3473566.8400000003</v>
      </c>
      <c r="F150" s="19">
        <f>SUM('BUNGALOW:WIDEHORIZONS, TM'!F150)</f>
        <v>2473610</v>
      </c>
      <c r="G150" s="54">
        <f>SUM('BUNGALOW:WIDEHORIZONS, TM'!G150)</f>
        <v>5947176.8399999999</v>
      </c>
      <c r="H150" s="137">
        <f>SUM('BUNGALOW:WIDEHORIZONS, TM'!J150)</f>
        <v>463768.01666666655</v>
      </c>
      <c r="I150" s="137">
        <f>SUM('BUNGALOW:WIDEHORIZONS, TM'!K150)</f>
        <v>484897.6</v>
      </c>
      <c r="J150" s="8"/>
      <c r="K150" s="109">
        <f>G150/$G$183</f>
        <v>0.16110530310247551</v>
      </c>
      <c r="M150" s="110">
        <f>G150/$G$198</f>
        <v>27.311070780732649</v>
      </c>
    </row>
    <row r="151" spans="1:13">
      <c r="A151" s="86" t="s">
        <v>113</v>
      </c>
      <c r="B151" s="7" t="s">
        <v>76</v>
      </c>
      <c r="C151" s="19">
        <f>SUM('BUNGALOW:WIDEHORIZONS, TM'!C151)</f>
        <v>213600.71</v>
      </c>
      <c r="D151" s="19">
        <f>SUM('BUNGALOW:WIDEHORIZONS, TM'!D151)</f>
        <v>235345.25</v>
      </c>
      <c r="E151" s="54">
        <f>SUM('BUNGALOW:WIDEHORIZONS, TM'!E151)</f>
        <v>448945.96</v>
      </c>
      <c r="F151" s="19">
        <f>SUM('BUNGALOW:WIDEHORIZONS, TM'!F151)</f>
        <v>247200</v>
      </c>
      <c r="G151" s="54">
        <f>SUM('BUNGALOW:WIDEHORIZONS, TM'!G151)</f>
        <v>696145.96</v>
      </c>
      <c r="H151" s="124"/>
      <c r="I151" s="124"/>
      <c r="J151" s="8"/>
      <c r="K151" s="109">
        <f t="shared" ref="K151:K163" si="19">G151/$G$183</f>
        <v>1.885815890575801E-2</v>
      </c>
      <c r="M151" s="110">
        <f t="shared" ref="M151:M163" si="20">G151/$G$198</f>
        <v>3.1968936015834162</v>
      </c>
    </row>
    <row r="152" spans="1:13">
      <c r="A152" s="86">
        <v>110</v>
      </c>
      <c r="B152" s="7" t="s">
        <v>331</v>
      </c>
      <c r="C152" s="19">
        <f>SUM('BUNGALOW:WIDEHORIZONS, TM'!C152)</f>
        <v>32536</v>
      </c>
      <c r="D152" s="19">
        <f>SUM('BUNGALOW:WIDEHORIZONS, TM'!D152)</f>
        <v>352</v>
      </c>
      <c r="E152" s="54">
        <f>SUM('BUNGALOW:WIDEHORIZONS, TM'!E152)</f>
        <v>32888</v>
      </c>
      <c r="F152" s="19">
        <f>SUM('BUNGALOW:WIDEHORIZONS, TM'!F152)</f>
        <v>0</v>
      </c>
      <c r="G152" s="54">
        <f>SUM('BUNGALOW:WIDEHORIZONS, TM'!G152)</f>
        <v>32888</v>
      </c>
      <c r="H152" s="124"/>
      <c r="I152" s="124"/>
      <c r="J152" s="8"/>
      <c r="K152" s="109">
        <f t="shared" si="19"/>
        <v>8.9091536219296523E-4</v>
      </c>
      <c r="M152" s="110">
        <f t="shared" si="20"/>
        <v>0.15103073609573975</v>
      </c>
    </row>
    <row r="153" spans="1:13">
      <c r="A153" s="86" t="s">
        <v>93</v>
      </c>
      <c r="B153" s="7" t="s">
        <v>77</v>
      </c>
      <c r="C153" s="19">
        <f>SUM('BUNGALOW:WIDEHORIZONS, TM'!C153)</f>
        <v>490463</v>
      </c>
      <c r="D153" s="19">
        <f>SUM('BUNGALOW:WIDEHORIZONS, TM'!D153)</f>
        <v>0</v>
      </c>
      <c r="E153" s="54">
        <f>SUM('BUNGALOW:WIDEHORIZONS, TM'!E153)</f>
        <v>490463</v>
      </c>
      <c r="F153" s="19">
        <f>SUM('BUNGALOW:WIDEHORIZONS, TM'!F153)</f>
        <v>0</v>
      </c>
      <c r="G153" s="54">
        <f>SUM('BUNGALOW:WIDEHORIZONS, TM'!G153)</f>
        <v>490463</v>
      </c>
      <c r="H153" s="141"/>
      <c r="I153" s="142"/>
      <c r="J153" s="8"/>
      <c r="K153" s="109">
        <f t="shared" si="19"/>
        <v>1.3286336088763326E-2</v>
      </c>
      <c r="M153" s="110">
        <f t="shared" si="20"/>
        <v>2.2523409121176359</v>
      </c>
    </row>
    <row r="154" spans="1:13">
      <c r="A154" s="86" t="s">
        <v>138</v>
      </c>
      <c r="B154" s="7" t="s">
        <v>78</v>
      </c>
      <c r="C154" s="19">
        <f>SUM('BUNGALOW:WIDEHORIZONS, TM'!C154)</f>
        <v>53899</v>
      </c>
      <c r="D154" s="19">
        <f>SUM('BUNGALOW:WIDEHORIZONS, TM'!D154)</f>
        <v>0</v>
      </c>
      <c r="E154" s="54">
        <f>SUM('BUNGALOW:WIDEHORIZONS, TM'!E154)</f>
        <v>53899</v>
      </c>
      <c r="F154" s="19">
        <f>SUM('BUNGALOW:WIDEHORIZONS, TM'!F154)</f>
        <v>5608</v>
      </c>
      <c r="G154" s="54">
        <f>SUM('BUNGALOW:WIDEHORIZONS, TM'!G154)</f>
        <v>59507</v>
      </c>
      <c r="H154" s="144"/>
      <c r="I154" s="138"/>
      <c r="J154" s="8"/>
      <c r="K154" s="109">
        <f t="shared" si="19"/>
        <v>1.6120074330459979E-3</v>
      </c>
      <c r="M154" s="110">
        <f t="shared" si="20"/>
        <v>0.27327250099881978</v>
      </c>
    </row>
    <row r="155" spans="1:13">
      <c r="A155" s="86" t="s">
        <v>139</v>
      </c>
      <c r="B155" s="7" t="s">
        <v>79</v>
      </c>
      <c r="C155" s="19">
        <f>SUM('BUNGALOW:WIDEHORIZONS, TM'!C155)</f>
        <v>27869</v>
      </c>
      <c r="D155" s="19">
        <f>SUM('BUNGALOW:WIDEHORIZONS, TM'!D155)</f>
        <v>0</v>
      </c>
      <c r="E155" s="54">
        <f>SUM('BUNGALOW:WIDEHORIZONS, TM'!E155)</f>
        <v>27869</v>
      </c>
      <c r="F155" s="19">
        <f>SUM('BUNGALOW:WIDEHORIZONS, TM'!F155)</f>
        <v>3128</v>
      </c>
      <c r="G155" s="54">
        <f>SUM('BUNGALOW:WIDEHORIZONS, TM'!G155)</f>
        <v>30997</v>
      </c>
      <c r="H155" s="141"/>
      <c r="I155" s="142"/>
      <c r="J155" s="8"/>
      <c r="K155" s="109">
        <f t="shared" si="19"/>
        <v>8.3968935422936461E-4</v>
      </c>
      <c r="M155" s="110">
        <f t="shared" si="20"/>
        <v>0.14234674430672722</v>
      </c>
    </row>
    <row r="156" spans="1:13">
      <c r="A156" s="86" t="s">
        <v>140</v>
      </c>
      <c r="B156" s="7" t="s">
        <v>80</v>
      </c>
      <c r="C156" s="19">
        <f>SUM('BUNGALOW:WIDEHORIZONS, TM'!C156)</f>
        <v>21438</v>
      </c>
      <c r="D156" s="19">
        <f>SUM('BUNGALOW:WIDEHORIZONS, TM'!D156)</f>
        <v>0</v>
      </c>
      <c r="E156" s="54">
        <f>SUM('BUNGALOW:WIDEHORIZONS, TM'!E156)</f>
        <v>21438</v>
      </c>
      <c r="F156" s="19">
        <f>SUM('BUNGALOW:WIDEHORIZONS, TM'!F156)</f>
        <v>0</v>
      </c>
      <c r="G156" s="54">
        <f>SUM('BUNGALOW:WIDEHORIZONS, TM'!G156)</f>
        <v>21438</v>
      </c>
      <c r="H156" s="144"/>
      <c r="I156" s="138"/>
      <c r="J156" s="8"/>
      <c r="K156" s="109">
        <f t="shared" si="19"/>
        <v>5.8074201942023796E-4</v>
      </c>
      <c r="M156" s="110">
        <f t="shared" si="20"/>
        <v>9.8449188774643301E-2</v>
      </c>
    </row>
    <row r="157" spans="1:13">
      <c r="A157" s="86">
        <v>316</v>
      </c>
      <c r="B157" s="7" t="s">
        <v>81</v>
      </c>
      <c r="C157" s="19">
        <f>SUM('BUNGALOW:WIDEHORIZONS, TM'!C157)</f>
        <v>36640</v>
      </c>
      <c r="D157" s="19">
        <f>SUM('BUNGALOW:WIDEHORIZONS, TM'!D157)</f>
        <v>0</v>
      </c>
      <c r="E157" s="54">
        <f>SUM('BUNGALOW:WIDEHORIZONS, TM'!E157)</f>
        <v>36640</v>
      </c>
      <c r="F157" s="19">
        <f>SUM('BUNGALOW:WIDEHORIZONS, TM'!F157)</f>
        <v>5571</v>
      </c>
      <c r="G157" s="54">
        <f>SUM('BUNGALOW:WIDEHORIZONS, TM'!G157)</f>
        <v>42211</v>
      </c>
      <c r="H157" s="141"/>
      <c r="I157" s="142"/>
      <c r="J157" s="8"/>
      <c r="K157" s="109">
        <f t="shared" si="19"/>
        <v>1.1434696045222346E-3</v>
      </c>
      <c r="M157" s="110">
        <f t="shared" si="20"/>
        <v>0.19384451475727532</v>
      </c>
    </row>
    <row r="158" spans="1:13">
      <c r="A158" s="86">
        <v>317</v>
      </c>
      <c r="B158" s="7" t="s">
        <v>82</v>
      </c>
      <c r="C158" s="19">
        <f>SUM('BUNGALOW:WIDEHORIZONS, TM'!C158)</f>
        <v>26681</v>
      </c>
      <c r="D158" s="19">
        <f>SUM('BUNGALOW:WIDEHORIZONS, TM'!D158)</f>
        <v>0</v>
      </c>
      <c r="E158" s="54">
        <f>SUM('BUNGALOW:WIDEHORIZONS, TM'!E158)</f>
        <v>26681</v>
      </c>
      <c r="F158" s="19">
        <f>SUM('BUNGALOW:WIDEHORIZONS, TM'!F158)</f>
        <v>9685</v>
      </c>
      <c r="G158" s="54">
        <f>SUM('BUNGALOW:WIDEHORIZONS, TM'!G158)</f>
        <v>36366</v>
      </c>
      <c r="H158" s="144"/>
      <c r="I158" s="138"/>
      <c r="J158" s="8"/>
      <c r="K158" s="109">
        <f t="shared" si="19"/>
        <v>9.851322081461133E-4</v>
      </c>
      <c r="M158" s="110">
        <f t="shared" si="20"/>
        <v>0.1670026681117025</v>
      </c>
    </row>
    <row r="159" spans="1:13">
      <c r="A159" s="86" t="s">
        <v>141</v>
      </c>
      <c r="B159" s="7" t="s">
        <v>179</v>
      </c>
      <c r="C159" s="19">
        <f>SUM('BUNGALOW:WIDEHORIZONS, TM'!C159)</f>
        <v>1812871.42</v>
      </c>
      <c r="D159" s="19">
        <f>SUM('BUNGALOW:WIDEHORIZONS, TM'!D159)</f>
        <v>0</v>
      </c>
      <c r="E159" s="54">
        <f>SUM('BUNGALOW:WIDEHORIZONS, TM'!E159)</f>
        <v>1812871.42</v>
      </c>
      <c r="F159" s="19">
        <f>SUM('BUNGALOW:WIDEHORIZONS, TM'!F159)</f>
        <v>533474</v>
      </c>
      <c r="G159" s="54">
        <f>SUM('BUNGALOW:WIDEHORIZONS, TM'!G159)</f>
        <v>2346345.42</v>
      </c>
      <c r="H159" s="141"/>
      <c r="I159" s="142"/>
      <c r="J159" s="8"/>
      <c r="K159" s="109">
        <f t="shared" si="19"/>
        <v>6.3561030761648776E-2</v>
      </c>
      <c r="M159" s="110">
        <f t="shared" si="20"/>
        <v>10.77506312081816</v>
      </c>
    </row>
    <row r="160" spans="1:13">
      <c r="A160" s="86" t="s">
        <v>142</v>
      </c>
      <c r="B160" s="7" t="s">
        <v>83</v>
      </c>
      <c r="C160" s="19">
        <f>SUM('BUNGALOW:WIDEHORIZONS, TM'!C160)</f>
        <v>241221</v>
      </c>
      <c r="D160" s="19">
        <f>SUM('BUNGALOW:WIDEHORIZONS, TM'!D160)</f>
        <v>0</v>
      </c>
      <c r="E160" s="54">
        <f>SUM('BUNGALOW:WIDEHORIZONS, TM'!E160)</f>
        <v>241221</v>
      </c>
      <c r="F160" s="19">
        <f>SUM('BUNGALOW:WIDEHORIZONS, TM'!F160)</f>
        <v>356275</v>
      </c>
      <c r="G160" s="54">
        <f>SUM('BUNGALOW:WIDEHORIZONS, TM'!G160)</f>
        <v>597496</v>
      </c>
      <c r="H160" s="138"/>
      <c r="I160" s="138"/>
      <c r="J160" s="8"/>
      <c r="K160" s="109">
        <f t="shared" si="19"/>
        <v>1.6185793154002918E-2</v>
      </c>
      <c r="M160" s="110">
        <f t="shared" si="20"/>
        <v>2.7438658688354449</v>
      </c>
    </row>
    <row r="161" spans="1:13">
      <c r="A161" s="86" t="s">
        <v>143</v>
      </c>
      <c r="B161" s="7" t="s">
        <v>84</v>
      </c>
      <c r="C161" s="19">
        <f>SUM('BUNGALOW:WIDEHORIZONS, TM'!C161)</f>
        <v>506</v>
      </c>
      <c r="D161" s="19">
        <f>SUM('BUNGALOW:WIDEHORIZONS, TM'!D161)</f>
        <v>0</v>
      </c>
      <c r="E161" s="54">
        <f>SUM('BUNGALOW:WIDEHORIZONS, TM'!E161)</f>
        <v>506</v>
      </c>
      <c r="F161" s="19">
        <f>SUM('BUNGALOW:WIDEHORIZONS, TM'!F161)</f>
        <v>0</v>
      </c>
      <c r="G161" s="54">
        <f>SUM('BUNGALOW:WIDEHORIZONS, TM'!G161)</f>
        <v>506</v>
      </c>
      <c r="H161" s="124"/>
      <c r="I161" s="124"/>
      <c r="J161" s="8"/>
      <c r="K161" s="109">
        <f t="shared" si="19"/>
        <v>1.3707223706812222E-5</v>
      </c>
      <c r="M161" s="110">
        <f t="shared" si="20"/>
        <v>2.3236910868536945E-3</v>
      </c>
    </row>
    <row r="162" spans="1:13">
      <c r="A162" s="86" t="s">
        <v>144</v>
      </c>
      <c r="B162" s="7" t="s">
        <v>85</v>
      </c>
      <c r="C162" s="19">
        <f>SUM('BUNGALOW:WIDEHORIZONS, TM'!C162)</f>
        <v>34963</v>
      </c>
      <c r="D162" s="19">
        <f>SUM('BUNGALOW:WIDEHORIZONS, TM'!D162)</f>
        <v>0</v>
      </c>
      <c r="E162" s="54">
        <f>SUM('BUNGALOW:WIDEHORIZONS, TM'!E162)</f>
        <v>34963</v>
      </c>
      <c r="F162" s="19">
        <f>SUM('BUNGALOW:WIDEHORIZONS, TM'!F162)</f>
        <v>18123</v>
      </c>
      <c r="G162" s="54">
        <f>SUM('BUNGALOW:WIDEHORIZONS, TM'!G162)</f>
        <v>53086</v>
      </c>
      <c r="H162" s="124"/>
      <c r="I162" s="124"/>
      <c r="J162" s="8"/>
      <c r="K162" s="109">
        <f t="shared" si="19"/>
        <v>1.4380665567190389E-3</v>
      </c>
      <c r="M162" s="110">
        <f t="shared" si="20"/>
        <v>0.24378550402512894</v>
      </c>
    </row>
    <row r="163" spans="1:13">
      <c r="A163" s="86">
        <v>490</v>
      </c>
      <c r="B163" s="7" t="s">
        <v>155</v>
      </c>
      <c r="C163" s="19">
        <f>SUM('BUNGALOW:WIDEHORIZONS, TM'!C163)</f>
        <v>133929</v>
      </c>
      <c r="D163" s="19">
        <f>SUM('BUNGALOW:WIDEHORIZONS, TM'!D163)</f>
        <v>1</v>
      </c>
      <c r="E163" s="54">
        <f>SUM('BUNGALOW:WIDEHORIZONS, TM'!E163)</f>
        <v>133930</v>
      </c>
      <c r="F163" s="19">
        <f>SUM('BUNGALOW:WIDEHORIZONS, TM'!F163)</f>
        <v>0</v>
      </c>
      <c r="G163" s="54">
        <f>SUM('BUNGALOW:WIDEHORIZONS, TM'!G163)</f>
        <v>133930</v>
      </c>
      <c r="H163" s="124"/>
      <c r="I163" s="124"/>
      <c r="J163" s="8"/>
      <c r="K163" s="109">
        <f t="shared" si="19"/>
        <v>3.6280799823188953E-3</v>
      </c>
      <c r="M163" s="110">
        <f t="shared" si="20"/>
        <v>0.61504337403619636</v>
      </c>
    </row>
    <row r="164" spans="1:13" ht="21.75" customHeight="1">
      <c r="A164" s="86"/>
      <c r="B164" s="49" t="s">
        <v>86</v>
      </c>
      <c r="C164" s="54">
        <f>SUM(C150:C163)</f>
        <v>6563131.0800000001</v>
      </c>
      <c r="D164" s="54">
        <f>SUM(D150:D163)</f>
        <v>272751.14</v>
      </c>
      <c r="E164" s="54">
        <f>SUM(E150:E163)</f>
        <v>6835882.2200000007</v>
      </c>
      <c r="F164" s="54">
        <f>SUM(F150:F163)</f>
        <v>3652674</v>
      </c>
      <c r="G164" s="54">
        <f>SUM(G150:G163)</f>
        <v>10488556.219999999</v>
      </c>
      <c r="H164" s="124"/>
      <c r="I164" s="124"/>
      <c r="J164" s="8"/>
      <c r="K164" s="109">
        <f>G164/$G$183</f>
        <v>0.28412843175695018</v>
      </c>
      <c r="M164" s="110">
        <f>G164/$G$198</f>
        <v>48.166333206280392</v>
      </c>
    </row>
    <row r="165" spans="1:13">
      <c r="C165" s="41"/>
      <c r="D165" s="41"/>
      <c r="E165" s="41"/>
      <c r="F165" s="41"/>
      <c r="G165" s="41"/>
      <c r="H165" s="124"/>
      <c r="I165" s="124"/>
      <c r="J165" s="9"/>
      <c r="K165" s="12"/>
      <c r="M165" s="13"/>
    </row>
    <row r="166" spans="1:13" s="92" customFormat="1">
      <c r="A166" s="44" t="s">
        <v>276</v>
      </c>
      <c r="B166" s="57" t="s">
        <v>277</v>
      </c>
      <c r="C166" s="88"/>
      <c r="D166" s="88"/>
      <c r="E166" s="88"/>
      <c r="F166" s="88"/>
      <c r="G166" s="89"/>
      <c r="H166" s="145"/>
      <c r="I166" s="145"/>
      <c r="J166" s="90"/>
      <c r="K166" s="91"/>
    </row>
    <row r="167" spans="1:13" s="92" customFormat="1">
      <c r="A167" s="44" t="s">
        <v>198</v>
      </c>
      <c r="B167" s="45" t="s">
        <v>278</v>
      </c>
      <c r="C167" s="19">
        <f>SUM('BUNGALOW:WIDEHORIZONS, TM'!C167)</f>
        <v>0</v>
      </c>
      <c r="D167" s="19">
        <f>SUM('BUNGALOW:WIDEHORIZONS, TM'!D167)</f>
        <v>0</v>
      </c>
      <c r="E167" s="54">
        <f>SUM('BUNGALOW:WIDEHORIZONS, TM'!E167)</f>
        <v>0</v>
      </c>
      <c r="F167" s="19">
        <f>SUM('BUNGALOW:WIDEHORIZONS, TM'!F167)</f>
        <v>0</v>
      </c>
      <c r="G167" s="54">
        <f>SUM('BUNGALOW:WIDEHORIZONS, TM'!G167)</f>
        <v>0</v>
      </c>
      <c r="H167" s="137">
        <f>SUM('BUNGALOW:WIDEHORIZONS, TM'!J167)</f>
        <v>0</v>
      </c>
      <c r="I167" s="137">
        <f>SUM('BUNGALOW:WIDEHORIZONS, TM'!K167)</f>
        <v>0</v>
      </c>
      <c r="K167" s="109">
        <f t="shared" ref="K167:K183" si="21">G167/$G$183</f>
        <v>0</v>
      </c>
      <c r="L167" s="21"/>
      <c r="M167" s="110">
        <f t="shared" ref="M167:M181" si="22">G167/$G$198</f>
        <v>0</v>
      </c>
    </row>
    <row r="168" spans="1:13" s="92" customFormat="1">
      <c r="A168" s="44" t="s">
        <v>279</v>
      </c>
      <c r="B168" s="45" t="s">
        <v>312</v>
      </c>
      <c r="C168" s="19">
        <f>SUM('BUNGALOW:WIDEHORIZONS, TM'!C168)</f>
        <v>0</v>
      </c>
      <c r="D168" s="19">
        <f>SUM('BUNGALOW:WIDEHORIZONS, TM'!D168)</f>
        <v>0</v>
      </c>
      <c r="E168" s="54">
        <f>SUM('BUNGALOW:WIDEHORIZONS, TM'!E168)</f>
        <v>0</v>
      </c>
      <c r="F168" s="19">
        <f>SUM('BUNGALOW:WIDEHORIZONS, TM'!F168)</f>
        <v>0</v>
      </c>
      <c r="G168" s="54">
        <f>SUM('BUNGALOW:WIDEHORIZONS, TM'!G168)</f>
        <v>0</v>
      </c>
      <c r="H168" s="145"/>
      <c r="I168" s="146"/>
      <c r="J168" s="93"/>
      <c r="K168" s="109">
        <f t="shared" si="21"/>
        <v>0</v>
      </c>
      <c r="L168" s="21"/>
      <c r="M168" s="110">
        <f t="shared" si="22"/>
        <v>0</v>
      </c>
    </row>
    <row r="169" spans="1:13" s="92" customFormat="1">
      <c r="A169" s="44" t="s">
        <v>280</v>
      </c>
      <c r="B169" s="46" t="s">
        <v>281</v>
      </c>
      <c r="C169" s="19">
        <f>SUM('BUNGALOW:WIDEHORIZONS, TM'!C169)</f>
        <v>60</v>
      </c>
      <c r="D169" s="19">
        <f>SUM('BUNGALOW:WIDEHORIZONS, TM'!D169)</f>
        <v>0</v>
      </c>
      <c r="E169" s="54">
        <f>SUM('BUNGALOW:WIDEHORIZONS, TM'!E169)</f>
        <v>60</v>
      </c>
      <c r="F169" s="19">
        <f>SUM('BUNGALOW:WIDEHORIZONS, TM'!F169)</f>
        <v>0</v>
      </c>
      <c r="G169" s="54">
        <f>SUM('BUNGALOW:WIDEHORIZONS, TM'!G169)</f>
        <v>60</v>
      </c>
      <c r="H169" s="147"/>
      <c r="I169" s="146"/>
      <c r="J169" s="91"/>
      <c r="K169" s="109">
        <f t="shared" si="21"/>
        <v>1.6253624948789198E-6</v>
      </c>
      <c r="L169" s="21"/>
      <c r="M169" s="110">
        <f t="shared" si="22"/>
        <v>2.7553649251229581E-4</v>
      </c>
    </row>
    <row r="170" spans="1:13" s="92" customFormat="1">
      <c r="A170" s="44" t="s">
        <v>202</v>
      </c>
      <c r="B170" s="46" t="s">
        <v>282</v>
      </c>
      <c r="C170" s="19">
        <f>SUM('BUNGALOW:WIDEHORIZONS, TM'!C170)</f>
        <v>50356</v>
      </c>
      <c r="D170" s="19">
        <f>SUM('BUNGALOW:WIDEHORIZONS, TM'!D170)</f>
        <v>0</v>
      </c>
      <c r="E170" s="54">
        <f>SUM('BUNGALOW:WIDEHORIZONS, TM'!E170)</f>
        <v>50356</v>
      </c>
      <c r="F170" s="19">
        <f>SUM('BUNGALOW:WIDEHORIZONS, TM'!F170)</f>
        <v>11970</v>
      </c>
      <c r="G170" s="54">
        <f>SUM('BUNGALOW:WIDEHORIZONS, TM'!G170)</f>
        <v>62326</v>
      </c>
      <c r="H170" s="147"/>
      <c r="I170" s="146"/>
      <c r="J170" s="91"/>
      <c r="K170" s="109">
        <f t="shared" si="21"/>
        <v>1.6883723809303925E-3</v>
      </c>
      <c r="L170" s="21"/>
      <c r="M170" s="110">
        <f t="shared" si="22"/>
        <v>0.2862181238720225</v>
      </c>
    </row>
    <row r="171" spans="1:13" s="92" customFormat="1">
      <c r="A171" s="44" t="s">
        <v>283</v>
      </c>
      <c r="B171" s="46" t="s">
        <v>284</v>
      </c>
      <c r="C171" s="19">
        <f>SUM('BUNGALOW:WIDEHORIZONS, TM'!C171)</f>
        <v>1194</v>
      </c>
      <c r="D171" s="19">
        <f>SUM('BUNGALOW:WIDEHORIZONS, TM'!D171)</f>
        <v>0</v>
      </c>
      <c r="E171" s="54">
        <f>SUM('BUNGALOW:WIDEHORIZONS, TM'!E171)</f>
        <v>1194</v>
      </c>
      <c r="F171" s="19">
        <f>SUM('BUNGALOW:WIDEHORIZONS, TM'!F171)</f>
        <v>255</v>
      </c>
      <c r="G171" s="54">
        <f>SUM('BUNGALOW:WIDEHORIZONS, TM'!G171)</f>
        <v>1449</v>
      </c>
      <c r="H171" s="147"/>
      <c r="I171" s="146"/>
      <c r="J171" s="91"/>
      <c r="K171" s="109">
        <f t="shared" si="21"/>
        <v>3.9252504251325912E-5</v>
      </c>
      <c r="L171" s="21"/>
      <c r="M171" s="110">
        <f t="shared" si="22"/>
        <v>6.6542062941719439E-3</v>
      </c>
    </row>
    <row r="172" spans="1:13" s="92" customFormat="1">
      <c r="A172" s="44" t="s">
        <v>285</v>
      </c>
      <c r="B172" s="46" t="s">
        <v>286</v>
      </c>
      <c r="C172" s="19">
        <f>SUM('BUNGALOW:WIDEHORIZONS, TM'!C172)</f>
        <v>30362</v>
      </c>
      <c r="D172" s="19">
        <f>SUM('BUNGALOW:WIDEHORIZONS, TM'!D172)</f>
        <v>0</v>
      </c>
      <c r="E172" s="54">
        <f>SUM('BUNGALOW:WIDEHORIZONS, TM'!E172)</f>
        <v>30362</v>
      </c>
      <c r="F172" s="19">
        <f>SUM('BUNGALOW:WIDEHORIZONS, TM'!F172)</f>
        <v>32300</v>
      </c>
      <c r="G172" s="54">
        <f>SUM('BUNGALOW:WIDEHORIZONS, TM'!G172)</f>
        <v>62662</v>
      </c>
      <c r="H172" s="147"/>
      <c r="I172" s="146"/>
      <c r="J172" s="91"/>
      <c r="K172" s="109">
        <f t="shared" si="21"/>
        <v>1.6974744109017144E-3</v>
      </c>
      <c r="L172" s="21"/>
      <c r="M172" s="110">
        <f t="shared" si="22"/>
        <v>0.28776112823009137</v>
      </c>
    </row>
    <row r="173" spans="1:13" s="92" customFormat="1">
      <c r="A173" s="44" t="s">
        <v>287</v>
      </c>
      <c r="B173" s="46" t="s">
        <v>288</v>
      </c>
      <c r="C173" s="19">
        <f>SUM('BUNGALOW:WIDEHORIZONS, TM'!C173)</f>
        <v>9914</v>
      </c>
      <c r="D173" s="19">
        <f>SUM('BUNGALOW:WIDEHORIZONS, TM'!D173)</f>
        <v>0</v>
      </c>
      <c r="E173" s="54">
        <f>SUM('BUNGALOW:WIDEHORIZONS, TM'!E173)</f>
        <v>9914</v>
      </c>
      <c r="F173" s="19">
        <f>SUM('BUNGALOW:WIDEHORIZONS, TM'!F173)</f>
        <v>5544</v>
      </c>
      <c r="G173" s="54">
        <f>SUM('BUNGALOW:WIDEHORIZONS, TM'!G173)</f>
        <v>15458</v>
      </c>
      <c r="H173" s="147"/>
      <c r="I173" s="146"/>
      <c r="J173" s="91"/>
      <c r="K173" s="109">
        <f t="shared" si="21"/>
        <v>4.18747557430639E-4</v>
      </c>
      <c r="L173" s="21"/>
      <c r="M173" s="110">
        <f t="shared" si="22"/>
        <v>7.0987385020917809E-2</v>
      </c>
    </row>
    <row r="174" spans="1:13" s="92" customFormat="1">
      <c r="A174" s="44" t="s">
        <v>289</v>
      </c>
      <c r="B174" s="46" t="s">
        <v>290</v>
      </c>
      <c r="C174" s="19">
        <f>SUM('BUNGALOW:WIDEHORIZONS, TM'!C174)</f>
        <v>0</v>
      </c>
      <c r="D174" s="19">
        <f>SUM('BUNGALOW:WIDEHORIZONS, TM'!D174)</f>
        <v>0</v>
      </c>
      <c r="E174" s="54">
        <f>SUM('BUNGALOW:WIDEHORIZONS, TM'!E174)</f>
        <v>0</v>
      </c>
      <c r="F174" s="19">
        <f>SUM('BUNGALOW:WIDEHORIZONS, TM'!F174)</f>
        <v>0</v>
      </c>
      <c r="G174" s="54">
        <f>SUM('BUNGALOW:WIDEHORIZONS, TM'!G174)</f>
        <v>0</v>
      </c>
      <c r="H174" s="147"/>
      <c r="I174" s="146"/>
      <c r="J174" s="91"/>
      <c r="K174" s="109">
        <f t="shared" si="21"/>
        <v>0</v>
      </c>
      <c r="L174" s="21"/>
      <c r="M174" s="110">
        <f t="shared" si="22"/>
        <v>0</v>
      </c>
    </row>
    <row r="175" spans="1:13" s="92" customFormat="1">
      <c r="A175" s="44" t="s">
        <v>291</v>
      </c>
      <c r="B175" s="46" t="s">
        <v>292</v>
      </c>
      <c r="C175" s="19">
        <f>SUM('BUNGALOW:WIDEHORIZONS, TM'!C175)</f>
        <v>2633.83</v>
      </c>
      <c r="D175" s="19">
        <f>SUM('BUNGALOW:WIDEHORIZONS, TM'!D175)</f>
        <v>0</v>
      </c>
      <c r="E175" s="54">
        <f>SUM('BUNGALOW:WIDEHORIZONS, TM'!E175)</f>
        <v>2633.83</v>
      </c>
      <c r="F175" s="19">
        <f>SUM('BUNGALOW:WIDEHORIZONS, TM'!F175)</f>
        <v>0</v>
      </c>
      <c r="G175" s="54">
        <f>SUM('BUNGALOW:WIDEHORIZONS, TM'!G175)</f>
        <v>2633.83</v>
      </c>
      <c r="H175" s="147"/>
      <c r="I175" s="146"/>
      <c r="J175" s="91"/>
      <c r="K175" s="109">
        <f t="shared" si="21"/>
        <v>7.134880833144908E-5</v>
      </c>
      <c r="L175" s="21"/>
      <c r="M175" s="110">
        <f t="shared" si="22"/>
        <v>1.2095271334561002E-2</v>
      </c>
    </row>
    <row r="176" spans="1:13" s="92" customFormat="1">
      <c r="A176" s="44" t="s">
        <v>293</v>
      </c>
      <c r="B176" s="46" t="s">
        <v>294</v>
      </c>
      <c r="C176" s="19">
        <f>SUM('BUNGALOW:WIDEHORIZONS, TM'!C176)</f>
        <v>0</v>
      </c>
      <c r="D176" s="19">
        <f>SUM('BUNGALOW:WIDEHORIZONS, TM'!D176)</f>
        <v>0</v>
      </c>
      <c r="E176" s="54">
        <f>SUM('BUNGALOW:WIDEHORIZONS, TM'!E176)</f>
        <v>0</v>
      </c>
      <c r="F176" s="19">
        <f>SUM('BUNGALOW:WIDEHORIZONS, TM'!F176)</f>
        <v>0</v>
      </c>
      <c r="G176" s="54">
        <f>SUM('BUNGALOW:WIDEHORIZONS, TM'!G176)</f>
        <v>0</v>
      </c>
      <c r="H176" s="147"/>
      <c r="I176" s="146"/>
      <c r="J176" s="91"/>
      <c r="K176" s="109">
        <f t="shared" si="21"/>
        <v>0</v>
      </c>
      <c r="L176" s="21"/>
      <c r="M176" s="110">
        <f t="shared" si="22"/>
        <v>0</v>
      </c>
    </row>
    <row r="177" spans="1:20" s="92" customFormat="1">
      <c r="A177" s="44" t="s">
        <v>295</v>
      </c>
      <c r="B177" s="46" t="s">
        <v>296</v>
      </c>
      <c r="C177" s="19">
        <f>SUM('BUNGALOW:WIDEHORIZONS, TM'!C177)</f>
        <v>0</v>
      </c>
      <c r="D177" s="19">
        <f>SUM('BUNGALOW:WIDEHORIZONS, TM'!D177)</f>
        <v>0</v>
      </c>
      <c r="E177" s="54">
        <f>SUM('BUNGALOW:WIDEHORIZONS, TM'!E177)</f>
        <v>0</v>
      </c>
      <c r="F177" s="19">
        <f>SUM('BUNGALOW:WIDEHORIZONS, TM'!F177)</f>
        <v>0</v>
      </c>
      <c r="G177" s="54">
        <f>SUM('BUNGALOW:WIDEHORIZONS, TM'!G177)</f>
        <v>0</v>
      </c>
      <c r="H177" s="147"/>
      <c r="I177" s="146"/>
      <c r="J177" s="91"/>
      <c r="K177" s="109">
        <f t="shared" si="21"/>
        <v>0</v>
      </c>
      <c r="L177" s="21"/>
      <c r="M177" s="110">
        <f t="shared" si="22"/>
        <v>0</v>
      </c>
    </row>
    <row r="178" spans="1:20" s="92" customFormat="1">
      <c r="A178" s="44" t="s">
        <v>297</v>
      </c>
      <c r="B178" s="46" t="s">
        <v>298</v>
      </c>
      <c r="C178" s="19">
        <f>SUM('BUNGALOW:WIDEHORIZONS, TM'!C178)</f>
        <v>24845.260000000002</v>
      </c>
      <c r="D178" s="19">
        <f>SUM('BUNGALOW:WIDEHORIZONS, TM'!D178)</f>
        <v>0</v>
      </c>
      <c r="E178" s="54">
        <f>SUM('BUNGALOW:WIDEHORIZONS, TM'!E178)</f>
        <v>24845.260000000002</v>
      </c>
      <c r="F178" s="19">
        <f>SUM('BUNGALOW:WIDEHORIZONS, TM'!F178)</f>
        <v>2004</v>
      </c>
      <c r="G178" s="54">
        <f>SUM('BUNGALOW:WIDEHORIZONS, TM'!G178)</f>
        <v>26849.260000000002</v>
      </c>
      <c r="H178" s="147"/>
      <c r="I178" s="146"/>
      <c r="J178" s="91"/>
      <c r="K178" s="109">
        <f t="shared" si="21"/>
        <v>7.2732967032087983E-4</v>
      </c>
      <c r="L178" s="21"/>
      <c r="M178" s="110">
        <f t="shared" si="22"/>
        <v>0.12329918211584473</v>
      </c>
    </row>
    <row r="179" spans="1:20" s="92" customFormat="1">
      <c r="A179" s="44" t="s">
        <v>299</v>
      </c>
      <c r="B179" s="46" t="s">
        <v>300</v>
      </c>
      <c r="C179" s="19">
        <f>SUM('BUNGALOW:WIDEHORIZONS, TM'!C179)</f>
        <v>0</v>
      </c>
      <c r="D179" s="19">
        <f>SUM('BUNGALOW:WIDEHORIZONS, TM'!D179)</f>
        <v>0</v>
      </c>
      <c r="E179" s="54">
        <f>SUM('BUNGALOW:WIDEHORIZONS, TM'!E179)</f>
        <v>0</v>
      </c>
      <c r="F179" s="19">
        <f>SUM('BUNGALOW:WIDEHORIZONS, TM'!F179)</f>
        <v>0</v>
      </c>
      <c r="G179" s="54">
        <f>SUM('BUNGALOW:WIDEHORIZONS, TM'!G179)</f>
        <v>0</v>
      </c>
      <c r="H179" s="147"/>
      <c r="I179" s="146"/>
      <c r="J179" s="91"/>
      <c r="K179" s="109">
        <f t="shared" si="21"/>
        <v>0</v>
      </c>
      <c r="L179" s="21"/>
      <c r="M179" s="110">
        <f t="shared" si="22"/>
        <v>0</v>
      </c>
    </row>
    <row r="180" spans="1:20" s="92" customFormat="1">
      <c r="A180" s="44" t="s">
        <v>242</v>
      </c>
      <c r="B180" s="47" t="s">
        <v>155</v>
      </c>
      <c r="C180" s="19">
        <f>SUM('BUNGALOW:WIDEHORIZONS, TM'!C180)</f>
        <v>1155</v>
      </c>
      <c r="D180" s="19">
        <f>SUM('BUNGALOW:WIDEHORIZONS, TM'!D180)</f>
        <v>0</v>
      </c>
      <c r="E180" s="54">
        <f>SUM('BUNGALOW:WIDEHORIZONS, TM'!E180)</f>
        <v>1155</v>
      </c>
      <c r="F180" s="19">
        <f>SUM('BUNGALOW:WIDEHORIZONS, TM'!F180)</f>
        <v>0</v>
      </c>
      <c r="G180" s="54">
        <f>SUM('BUNGALOW:WIDEHORIZONS, TM'!G180)</f>
        <v>1155</v>
      </c>
      <c r="H180" s="147"/>
      <c r="I180" s="147"/>
      <c r="J180" s="91"/>
      <c r="K180" s="109">
        <f t="shared" si="21"/>
        <v>3.1288228026419201E-5</v>
      </c>
      <c r="L180" s="21"/>
      <c r="M180" s="110">
        <f t="shared" si="22"/>
        <v>5.3040774808616941E-3</v>
      </c>
    </row>
    <row r="181" spans="1:20" s="92" customFormat="1">
      <c r="A181" s="48"/>
      <c r="B181" s="50" t="s">
        <v>302</v>
      </c>
      <c r="C181" s="94">
        <f>SUM(C167:C180)</f>
        <v>120520.09</v>
      </c>
      <c r="D181" s="94">
        <f>SUM(D167:D180)</f>
        <v>0</v>
      </c>
      <c r="E181" s="94">
        <f>SUM(E167:E180)</f>
        <v>120520.09</v>
      </c>
      <c r="F181" s="94">
        <f>SUM(F167:F180)</f>
        <v>52073</v>
      </c>
      <c r="G181" s="154">
        <f>IF(ISERROR(E181+F181),"",(E181+F181))</f>
        <v>172593.09</v>
      </c>
      <c r="H181" s="142"/>
      <c r="I181" s="142"/>
      <c r="J181" s="90"/>
      <c r="K181" s="109">
        <f t="shared" si="21"/>
        <v>4.6754389226876985E-3</v>
      </c>
      <c r="L181" s="21"/>
      <c r="M181" s="110">
        <f t="shared" si="22"/>
        <v>0.79259491084098332</v>
      </c>
    </row>
    <row r="182" spans="1:20" s="34" customFormat="1">
      <c r="A182" s="95"/>
      <c r="B182" s="96"/>
      <c r="C182" s="16"/>
      <c r="D182" s="16"/>
      <c r="E182" s="16"/>
      <c r="F182" s="16"/>
      <c r="G182" s="16"/>
      <c r="H182" s="155"/>
      <c r="I182" s="155"/>
      <c r="J182" s="16"/>
      <c r="K182" s="115"/>
      <c r="L182" s="87"/>
      <c r="M182" s="18"/>
      <c r="O182" s="21"/>
      <c r="P182" s="21"/>
    </row>
    <row r="183" spans="1:20" s="29" customFormat="1">
      <c r="A183" s="35" t="s">
        <v>162</v>
      </c>
      <c r="B183" s="15" t="s">
        <v>246</v>
      </c>
      <c r="C183" s="30">
        <f>C57+C77+C92+C101+C110+C118+C139+C147+C164+C181</f>
        <v>30013988.239999998</v>
      </c>
      <c r="D183" s="30">
        <f>D57+D77+D92+D101+D110+D118+D139+D147+D164+D181</f>
        <v>-1358644.0499999998</v>
      </c>
      <c r="E183" s="30">
        <f>E57+E77+E92+E101+E110+E118+E139+E147+E164+E181</f>
        <v>28655344.190000001</v>
      </c>
      <c r="F183" s="30">
        <f>F57+F77+F92+F101+F110+F118+F139+F147+F164+F181</f>
        <v>8259498</v>
      </c>
      <c r="G183" s="30">
        <f>G57+G77+G92+G101+G110+G118+G139+G147+G164+G181</f>
        <v>36914842.189999998</v>
      </c>
      <c r="H183" s="137">
        <f>SUM('BUNGALOW:WIDEHORIZONS, TM'!J183)</f>
        <v>1238127.6499999997</v>
      </c>
      <c r="I183" s="137">
        <f>SUM('BUNGALOW:WIDEHORIZONS, TM'!K183)</f>
        <v>1295512.7666666664</v>
      </c>
      <c r="K183" s="109">
        <f t="shared" si="21"/>
        <v>1</v>
      </c>
      <c r="L183" s="21"/>
      <c r="M183" s="110">
        <f>G183/$G$198</f>
        <v>169.52310231129192</v>
      </c>
      <c r="N183" s="32"/>
    </row>
    <row r="184" spans="1:20" s="34" customFormat="1">
      <c r="A184" s="95"/>
      <c r="B184" s="96"/>
      <c r="C184" s="16"/>
      <c r="D184" s="16"/>
      <c r="E184" s="16"/>
      <c r="F184" s="16"/>
      <c r="G184" s="256"/>
      <c r="H184" s="124"/>
      <c r="I184" s="124"/>
      <c r="J184" s="16"/>
      <c r="K184" s="17"/>
      <c r="L184" s="87"/>
      <c r="M184" s="18"/>
      <c r="O184" s="21"/>
      <c r="P184" s="21"/>
    </row>
    <row r="185" spans="1:20" s="34" customFormat="1" ht="19.25" customHeight="1">
      <c r="A185" s="95"/>
      <c r="B185" s="96" t="s">
        <v>146</v>
      </c>
      <c r="C185" s="54">
        <f>SUM('BUNGALOW:WIDEHORIZONS, TM'!C186)</f>
        <v>30013988</v>
      </c>
      <c r="D185" s="16"/>
      <c r="E185" s="16"/>
      <c r="F185" s="16"/>
      <c r="G185" s="16"/>
      <c r="H185" s="124"/>
      <c r="I185" s="124"/>
      <c r="J185" s="16"/>
      <c r="K185" s="17"/>
      <c r="L185" s="87"/>
      <c r="M185" s="18"/>
      <c r="P185" s="97"/>
    </row>
    <row r="186" spans="1:20" ht="19.25" customHeight="1">
      <c r="A186" s="86"/>
      <c r="B186" s="83" t="s">
        <v>180</v>
      </c>
      <c r="C186" s="54">
        <f>SUM('BUNGALOW:WIDEHORIZONS, TM'!D184)</f>
        <v>0</v>
      </c>
      <c r="D186" s="16"/>
      <c r="E186" s="16"/>
      <c r="F186" s="16"/>
      <c r="G186" s="16"/>
      <c r="H186" s="124"/>
      <c r="I186" s="124"/>
      <c r="J186" s="16"/>
      <c r="K186" s="17"/>
      <c r="L186" s="87"/>
      <c r="M186" s="18"/>
      <c r="N186" s="34"/>
      <c r="O186" s="97"/>
      <c r="Q186" s="34"/>
      <c r="R186" s="34"/>
      <c r="S186" s="34"/>
      <c r="T186" s="34"/>
    </row>
    <row r="187" spans="1:20" ht="21.75" customHeight="1">
      <c r="A187" s="86"/>
      <c r="B187" s="83"/>
      <c r="C187" s="10"/>
      <c r="D187" s="10"/>
      <c r="E187" s="10"/>
      <c r="F187" s="10"/>
      <c r="G187" s="10"/>
      <c r="H187" s="124"/>
      <c r="I187" s="124"/>
      <c r="J187" s="10"/>
      <c r="L187" s="98"/>
      <c r="M187" s="39" t="s">
        <v>255</v>
      </c>
      <c r="N187" s="97"/>
      <c r="Q187" s="97"/>
      <c r="R187" s="97"/>
      <c r="S187" s="97"/>
      <c r="T187" s="97"/>
    </row>
    <row r="188" spans="1:20" ht="21.75" customHeight="1">
      <c r="A188" s="86"/>
      <c r="B188" s="83"/>
      <c r="C188" s="10"/>
      <c r="D188" s="10"/>
      <c r="E188" s="10"/>
      <c r="F188" s="10"/>
      <c r="G188" s="10"/>
      <c r="H188" s="124"/>
      <c r="I188" s="124"/>
      <c r="J188" s="10"/>
      <c r="L188" s="98"/>
      <c r="M188" s="39"/>
      <c r="N188" s="97"/>
      <c r="Q188" s="97"/>
      <c r="R188" s="97"/>
      <c r="S188" s="97"/>
      <c r="T188" s="97"/>
    </row>
    <row r="189" spans="1:20" ht="21.75" customHeight="1">
      <c r="A189" s="86"/>
      <c r="B189" s="83"/>
      <c r="C189" s="10"/>
      <c r="D189" s="10"/>
      <c r="E189" s="10"/>
      <c r="F189" s="10"/>
      <c r="G189" s="10"/>
      <c r="H189" s="124"/>
      <c r="I189" s="124"/>
      <c r="J189" s="10"/>
      <c r="L189" s="98"/>
      <c r="M189" s="39"/>
      <c r="N189" s="97"/>
      <c r="Q189" s="97"/>
      <c r="R189" s="97"/>
      <c r="S189" s="97"/>
      <c r="T189" s="97"/>
    </row>
    <row r="190" spans="1:20" ht="19.5" customHeight="1">
      <c r="A190" s="5"/>
      <c r="B190" s="120" t="s">
        <v>315</v>
      </c>
      <c r="C190" s="54">
        <f>C17-C183</f>
        <v>522476.80000000075</v>
      </c>
      <c r="D190" s="54">
        <f>D17-D183</f>
        <v>1110407.7499999998</v>
      </c>
      <c r="E190" s="54">
        <f>E17-E183</f>
        <v>1632884.549999997</v>
      </c>
      <c r="F190" s="54">
        <f>F17-F183</f>
        <v>5453</v>
      </c>
      <c r="G190" s="54">
        <f>G17-G183</f>
        <v>1638337.5500000045</v>
      </c>
      <c r="H190" s="124"/>
      <c r="I190" s="124"/>
      <c r="J190" s="8"/>
      <c r="M190" s="113">
        <f>M17-M183</f>
        <v>7.5236963679698476</v>
      </c>
    </row>
    <row r="191" spans="1:20">
      <c r="A191" s="4"/>
      <c r="B191" s="1"/>
      <c r="C191" s="99"/>
      <c r="D191" s="99" t="s">
        <v>181</v>
      </c>
      <c r="E191" s="99"/>
      <c r="F191" s="99"/>
      <c r="G191" s="100">
        <f>G190/G17</f>
        <v>4.2495523353685491E-2</v>
      </c>
      <c r="H191" s="124"/>
      <c r="I191" s="124"/>
      <c r="J191" s="9"/>
    </row>
    <row r="192" spans="1:20">
      <c r="A192" s="4"/>
      <c r="B192" s="1"/>
      <c r="C192" s="101"/>
      <c r="D192" s="101" t="s">
        <v>183</v>
      </c>
      <c r="E192" s="101"/>
      <c r="F192" s="101"/>
      <c r="G192" s="100">
        <f>G190/G183</f>
        <v>4.4381540128697071E-2</v>
      </c>
      <c r="H192" s="124"/>
      <c r="I192" s="124"/>
      <c r="J192" s="9"/>
    </row>
    <row r="193" spans="1:28" ht="26">
      <c r="B193" s="58" t="s">
        <v>159</v>
      </c>
      <c r="C193" s="1"/>
      <c r="D193" s="1"/>
      <c r="E193" s="1"/>
      <c r="F193" s="1"/>
      <c r="G193" s="1"/>
      <c r="H193" s="124"/>
      <c r="I193" s="124"/>
      <c r="J193" s="9"/>
      <c r="K193" s="252" t="s">
        <v>360</v>
      </c>
      <c r="M193" s="81"/>
    </row>
    <row r="194" spans="1:28">
      <c r="B194" s="7" t="s">
        <v>256</v>
      </c>
      <c r="C194" s="40">
        <f>SUM('BUNGALOW:WIDEHORIZONS, TM'!C194)</f>
        <v>170835</v>
      </c>
      <c r="D194" s="40">
        <f>SUM('BUNGALOW:WIDEHORIZONS, TM'!D194)</f>
        <v>0</v>
      </c>
      <c r="E194" s="106">
        <f>SUM('BUNGALOW:WIDEHORIZONS, TM'!E194)</f>
        <v>170835</v>
      </c>
      <c r="F194" s="40">
        <f>SUM('BUNGALOW:WIDEHORIZONS, TM'!F194)</f>
        <v>45379</v>
      </c>
      <c r="G194" s="106">
        <f>SUM('BUNGALOW:WIDEHORIZONS, TM'!G194)</f>
        <v>216214</v>
      </c>
      <c r="H194" s="124"/>
      <c r="I194" s="124"/>
      <c r="J194" s="6"/>
      <c r="K194" s="109">
        <f>G194/$G$198</f>
        <v>0.99291411986755884</v>
      </c>
      <c r="M194" s="7"/>
    </row>
    <row r="195" spans="1:28">
      <c r="B195" s="7" t="s">
        <v>257</v>
      </c>
      <c r="C195" s="40">
        <f>SUM('BUNGALOW:WIDEHORIZONS, TM'!C195)</f>
        <v>369</v>
      </c>
      <c r="D195" s="40">
        <f>SUM('BUNGALOW:WIDEHORIZONS, TM'!D195)</f>
        <v>0</v>
      </c>
      <c r="E195" s="106">
        <f>SUM('BUNGALOW:WIDEHORIZONS, TM'!E195)</f>
        <v>369</v>
      </c>
      <c r="F195" s="40">
        <f>SUM('BUNGALOW:WIDEHORIZONS, TM'!F195)</f>
        <v>1080</v>
      </c>
      <c r="G195" s="106">
        <f>SUM('BUNGALOW:WIDEHORIZONS, TM'!G195)</f>
        <v>1449</v>
      </c>
      <c r="H195" s="124"/>
      <c r="I195" s="124"/>
      <c r="J195" s="6"/>
      <c r="K195" s="109">
        <f>G195/$G$198</f>
        <v>6.6542062941719439E-3</v>
      </c>
      <c r="M195" s="7"/>
    </row>
    <row r="196" spans="1:28">
      <c r="B196" s="7" t="s">
        <v>87</v>
      </c>
      <c r="C196" s="40">
        <f>SUM('BUNGALOW:WIDEHORIZONS, TM'!C196)</f>
        <v>61</v>
      </c>
      <c r="D196" s="40">
        <f>SUM('BUNGALOW:WIDEHORIZONS, TM'!D196)</f>
        <v>0</v>
      </c>
      <c r="E196" s="106">
        <f>SUM('BUNGALOW:WIDEHORIZONS, TM'!E196)</f>
        <v>61</v>
      </c>
      <c r="F196" s="40">
        <f>SUM('BUNGALOW:WIDEHORIZONS, TM'!F196)</f>
        <v>0</v>
      </c>
      <c r="G196" s="106">
        <f>SUM('BUNGALOW:WIDEHORIZONS, TM'!G196)</f>
        <v>61</v>
      </c>
      <c r="H196" s="125"/>
      <c r="I196" s="125"/>
      <c r="J196" s="6"/>
      <c r="K196" s="109">
        <f>G196/$G$198</f>
        <v>2.8012876738750075E-4</v>
      </c>
      <c r="M196" s="7"/>
    </row>
    <row r="197" spans="1:28">
      <c r="B197" s="7" t="s">
        <v>88</v>
      </c>
      <c r="C197" s="40">
        <f>SUM('BUNGALOW:WIDEHORIZONS, TM'!C197)</f>
        <v>33</v>
      </c>
      <c r="D197" s="40">
        <f>SUM('BUNGALOW:WIDEHORIZONS, TM'!D197)</f>
        <v>0</v>
      </c>
      <c r="E197" s="106">
        <f>SUM('BUNGALOW:WIDEHORIZONS, TM'!E197)</f>
        <v>33</v>
      </c>
      <c r="F197" s="40">
        <f>SUM('BUNGALOW:WIDEHORIZONS, TM'!F197)</f>
        <v>0</v>
      </c>
      <c r="G197" s="106">
        <f>SUM('BUNGALOW:WIDEHORIZONS, TM'!G197)</f>
        <v>33</v>
      </c>
      <c r="H197" s="124"/>
      <c r="I197" s="124"/>
      <c r="J197" s="6"/>
      <c r="K197" s="109">
        <f>G197/$G$198</f>
        <v>1.515450708817627E-4</v>
      </c>
      <c r="M197" s="7"/>
    </row>
    <row r="198" spans="1:28" ht="26.25" customHeight="1" thickBot="1">
      <c r="B198" s="102" t="s">
        <v>89</v>
      </c>
      <c r="C198" s="107">
        <f>SUM(C194:C197)</f>
        <v>171298</v>
      </c>
      <c r="D198" s="107">
        <f>SUM(D194:D197)</f>
        <v>0</v>
      </c>
      <c r="E198" s="107">
        <f>SUM(E194:E197)</f>
        <v>171298</v>
      </c>
      <c r="F198" s="107">
        <f>SUM(F194:F197)</f>
        <v>46459</v>
      </c>
      <c r="G198" s="107">
        <f>SUM(G194:G197)</f>
        <v>217757</v>
      </c>
      <c r="H198" s="124"/>
      <c r="I198" s="124"/>
      <c r="J198" s="6"/>
      <c r="K198" s="109">
        <f>G198/$G$198</f>
        <v>1</v>
      </c>
      <c r="M198" s="102"/>
    </row>
    <row r="199" spans="1:28" ht="13.5" thickTop="1">
      <c r="B199" s="102"/>
      <c r="C199" s="253"/>
      <c r="D199" s="253"/>
      <c r="E199" s="253"/>
      <c r="F199" s="253"/>
      <c r="G199" s="253"/>
      <c r="H199" s="254"/>
      <c r="I199" s="254"/>
      <c r="J199" s="253"/>
      <c r="K199" s="255"/>
      <c r="M199" s="102"/>
    </row>
    <row r="200" spans="1:28" ht="20.399999999999999" customHeight="1">
      <c r="B200" s="58" t="s">
        <v>160</v>
      </c>
      <c r="C200" s="3"/>
      <c r="D200" s="3"/>
      <c r="E200" s="3"/>
      <c r="F200" s="3"/>
      <c r="G200" s="3"/>
      <c r="H200" s="124"/>
      <c r="I200" s="124"/>
      <c r="J200" s="6"/>
    </row>
    <row r="201" spans="1:28">
      <c r="B201" s="7" t="s">
        <v>182</v>
      </c>
      <c r="C201" s="106">
        <f>SUM('BUNGALOW:WIDEHORIZONS, TM'!C201)</f>
        <v>635</v>
      </c>
      <c r="D201" s="151">
        <f>SUM('BUNGALOW:WIDEHORIZONS, TM'!D201)</f>
        <v>0</v>
      </c>
      <c r="E201" s="106">
        <f>SUM('BUNGALOW:WIDEHORIZONS, TM'!E201)</f>
        <v>635</v>
      </c>
      <c r="F201" s="151">
        <f>SUM('BUNGALOW:WIDEHORIZONS, TM'!F201)</f>
        <v>0</v>
      </c>
      <c r="G201" s="106">
        <f>SUM('BUNGALOW:WIDEHORIZONS, TM'!G201)</f>
        <v>635</v>
      </c>
      <c r="H201" s="124"/>
      <c r="I201" s="124"/>
      <c r="J201" s="6"/>
    </row>
    <row r="202" spans="1:28">
      <c r="B202" s="7" t="s">
        <v>310</v>
      </c>
      <c r="C202" s="106">
        <f>SUM('BUNGALOW:WIDEHORIZONS, TM'!C202)</f>
        <v>575</v>
      </c>
      <c r="D202" s="151">
        <f>SUM('BUNGALOW:WIDEHORIZONS, TM'!D201)</f>
        <v>0</v>
      </c>
      <c r="E202" s="106">
        <f>SUM('BUNGALOW:WIDEHORIZONS, TM'!E202)</f>
        <v>575</v>
      </c>
      <c r="F202" s="151">
        <f>SUM('BUNGALOW:WIDEHORIZONS, TM'!F202)</f>
        <v>60</v>
      </c>
      <c r="G202" s="106">
        <f>SUM('BUNGALOW:WIDEHORIZONS, TM'!G202)</f>
        <v>635</v>
      </c>
      <c r="H202" s="124"/>
      <c r="I202" s="124"/>
      <c r="J202" s="6"/>
    </row>
    <row r="203" spans="1:28">
      <c r="B203" s="21" t="s">
        <v>90</v>
      </c>
      <c r="C203" s="37">
        <f>(C3-C2)+1</f>
        <v>366</v>
      </c>
      <c r="D203" s="20"/>
      <c r="E203" s="108">
        <f>C203</f>
        <v>366</v>
      </c>
      <c r="F203" s="20"/>
      <c r="G203" s="108">
        <f>C203</f>
        <v>366</v>
      </c>
      <c r="H203" s="126"/>
      <c r="I203" s="126"/>
      <c r="J203" s="6"/>
      <c r="P203" s="103"/>
    </row>
    <row r="204" spans="1:28">
      <c r="B204" s="58"/>
      <c r="H204" s="126"/>
      <c r="I204" s="126"/>
      <c r="O204" s="103"/>
      <c r="P204" s="103"/>
    </row>
    <row r="205" spans="1:28" ht="26">
      <c r="A205" s="104"/>
      <c r="B205" s="22" t="s">
        <v>319</v>
      </c>
      <c r="C205" s="106">
        <f>C201*C203</f>
        <v>232410</v>
      </c>
      <c r="D205" s="23"/>
      <c r="E205" s="106">
        <f>E201*E203</f>
        <v>232410</v>
      </c>
      <c r="F205" s="23"/>
      <c r="G205" s="106">
        <f>G201*G203</f>
        <v>232410</v>
      </c>
      <c r="H205" s="122"/>
      <c r="I205" s="122"/>
      <c r="J205" s="103"/>
      <c r="K205" s="103"/>
      <c r="L205" s="105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33.65" customHeight="1">
      <c r="A206" s="104"/>
      <c r="B206" s="22" t="s">
        <v>320</v>
      </c>
      <c r="C206" s="111">
        <f>C198/C205</f>
        <v>0.73705090142420726</v>
      </c>
      <c r="D206" s="112"/>
      <c r="E206" s="111">
        <f>E198/E205</f>
        <v>0.73705090142420726</v>
      </c>
      <c r="F206" s="112"/>
      <c r="G206" s="111">
        <f>G198/G205</f>
        <v>0.9369519383847511</v>
      </c>
      <c r="H206" s="127"/>
      <c r="I206" s="127"/>
      <c r="J206" s="103"/>
      <c r="K206" s="103"/>
      <c r="L206" s="105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32.4" customHeight="1">
      <c r="A207" s="104"/>
      <c r="B207" s="22" t="s">
        <v>321</v>
      </c>
      <c r="C207" s="111">
        <f>C194/C205</f>
        <v>0.73505873241254682</v>
      </c>
      <c r="D207" s="112"/>
      <c r="E207" s="111">
        <f>E194/E205</f>
        <v>0.73505873241254682</v>
      </c>
      <c r="F207" s="112"/>
      <c r="G207" s="111">
        <f>G194/G205</f>
        <v>0.93031280925949833</v>
      </c>
      <c r="H207" s="127"/>
      <c r="I207" s="127"/>
      <c r="J207" s="103"/>
      <c r="K207" s="103"/>
      <c r="L207" s="105"/>
      <c r="M207" s="103"/>
      <c r="N207" s="103"/>
      <c r="O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38.25" customHeight="1">
      <c r="A208" s="104"/>
      <c r="B208" s="22" t="s">
        <v>322</v>
      </c>
      <c r="C208" s="111">
        <f>C207/C206</f>
        <v>0.99729710796389914</v>
      </c>
      <c r="D208" s="112"/>
      <c r="E208" s="111">
        <f>E207/E206</f>
        <v>0.99729710796389914</v>
      </c>
      <c r="F208" s="112"/>
      <c r="G208" s="111">
        <f>G207/G206</f>
        <v>0.99291411986755884</v>
      </c>
      <c r="H208" s="127"/>
      <c r="I208" s="127"/>
      <c r="J208" s="103"/>
      <c r="K208" s="103"/>
      <c r="L208" s="105"/>
      <c r="M208" s="103"/>
      <c r="N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8:9">
      <c r="H209" s="126"/>
      <c r="I209" s="126"/>
    </row>
    <row r="210" spans="8:9">
      <c r="H210" s="126"/>
      <c r="I210" s="126"/>
    </row>
    <row r="211" spans="8:9">
      <c r="H211" s="128"/>
      <c r="I211" s="128"/>
    </row>
    <row r="212" spans="8:9">
      <c r="H212" s="128"/>
      <c r="I212" s="128"/>
    </row>
    <row r="213" spans="8:9">
      <c r="H213" s="126"/>
      <c r="I213" s="126"/>
    </row>
    <row r="214" spans="8:9">
      <c r="H214" s="126"/>
      <c r="I214" s="126"/>
    </row>
    <row r="215" spans="8:9">
      <c r="H215" s="126"/>
      <c r="I215" s="126"/>
    </row>
    <row r="216" spans="8:9">
      <c r="H216" s="126"/>
      <c r="I216" s="126"/>
    </row>
    <row r="217" spans="8:9">
      <c r="H217" s="128"/>
      <c r="I217" s="128"/>
    </row>
    <row r="218" spans="8:9">
      <c r="H218" s="128"/>
      <c r="I218" s="128"/>
    </row>
    <row r="219" spans="8:9">
      <c r="H219" s="126"/>
      <c r="I219" s="126"/>
    </row>
    <row r="220" spans="8:9">
      <c r="H220" s="126"/>
      <c r="I220" s="126"/>
    </row>
    <row r="221" spans="8:9">
      <c r="H221" s="126"/>
      <c r="I221" s="126"/>
    </row>
    <row r="222" spans="8:9">
      <c r="H222" s="126"/>
      <c r="I222" s="126"/>
    </row>
    <row r="223" spans="8:9">
      <c r="H223" s="126"/>
      <c r="I223" s="126"/>
    </row>
  </sheetData>
  <phoneticPr fontId="0" type="noConversion"/>
  <printOptions horizontalCentered="1" gridLinesSet="0"/>
  <pageMargins left="0.25" right="0.25" top="0.75" bottom="0.75" header="0.5" footer="0.5"/>
  <pageSetup scale="71" fitToHeight="5" orientation="landscape" horizontalDpi="4294967292" verticalDpi="300" r:id="rId1"/>
  <headerFooter alignWithMargins="0">
    <oddFooter>Page &amp;P</oddFooter>
  </headerFooter>
  <rowBreaks count="3" manualBreakCount="3">
    <brk id="51" max="11" man="1"/>
    <brk id="101" max="11" man="1"/>
    <brk id="1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P213"/>
  <sheetViews>
    <sheetView showGridLines="0" zoomScale="83" zoomScaleNormal="83" workbookViewId="0">
      <pane xSplit="2" ySplit="11" topLeftCell="C197" activePane="bottomRight" state="frozen"/>
      <selection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397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395</v>
      </c>
      <c r="G5" s="167"/>
    </row>
    <row r="6" spans="1:16">
      <c r="A6" s="24"/>
      <c r="B6" s="164"/>
      <c r="C6" s="168"/>
      <c r="D6" s="25"/>
      <c r="F6" s="285" t="s">
        <v>396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21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0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'[2]Sch B'!E10</f>
        <v>337305.49</v>
      </c>
      <c r="D12" s="273">
        <f>'[2]Sch B'!G10</f>
        <v>0</v>
      </c>
      <c r="E12" s="259">
        <f>SUM(C12:D12)</f>
        <v>337305.49</v>
      </c>
      <c r="F12" s="180">
        <v>647592</v>
      </c>
      <c r="G12" s="180">
        <f>IF(ISERROR(E12+F12)," ",(E12+F12))</f>
        <v>984897.49</v>
      </c>
      <c r="H12" s="181">
        <f t="shared" ref="H12:H17" si="0">IF(ISERROR(G12/$G$17),"",(G12/$G$17))</f>
        <v>0.99152576038612028</v>
      </c>
      <c r="J12" s="246" t="s">
        <v>346</v>
      </c>
      <c r="K12" s="247">
        <f>G17</f>
        <v>993315.08000000007</v>
      </c>
      <c r="M12" s="237">
        <f>IFERROR(G12/G$194,0)</f>
        <v>178.13302405498283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'[2]Sch B'!E15</f>
        <v>0</v>
      </c>
      <c r="D13" s="273">
        <f>'[2]Sch B'!G15</f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1058111.31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'[2]Sch B'!E20</f>
        <v>0</v>
      </c>
      <c r="D14" s="273">
        <f>'[2]Sch B'!G20</f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5529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'[2]Sch B'!E25</f>
        <v>0</v>
      </c>
      <c r="D15" s="273">
        <f>'[2]Sch B'!G25</f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'[2]Sch B'!E40</f>
        <v>0</v>
      </c>
      <c r="D16" s="273">
        <f>'[2]Sch B'!G40</f>
        <v>1393.59</v>
      </c>
      <c r="E16" s="259">
        <f t="shared" si="1"/>
        <v>1393.59</v>
      </c>
      <c r="F16" s="183">
        <v>7024</v>
      </c>
      <c r="G16" s="183">
        <f>IF(ISERROR(E16+F16),"",(E16+F16))</f>
        <v>8417.59</v>
      </c>
      <c r="H16" s="184">
        <f t="shared" si="0"/>
        <v>8.4742396138796153E-3</v>
      </c>
      <c r="J16" s="248" t="s">
        <v>350</v>
      </c>
      <c r="K16" s="249">
        <f>G205</f>
        <v>5856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337305.49</v>
      </c>
      <c r="D17" s="273">
        <f>SUM(D12:D16)</f>
        <v>1393.59</v>
      </c>
      <c r="E17" s="183">
        <f>SUM(E12:E16)</f>
        <v>338699.08</v>
      </c>
      <c r="F17" s="183">
        <f>SUM(F12:F16)</f>
        <v>654616</v>
      </c>
      <c r="G17" s="183">
        <f>IF(ISERROR(E17+F17),"",(E17+F17))</f>
        <v>993315.08000000007</v>
      </c>
      <c r="H17" s="184">
        <f t="shared" si="0"/>
        <v>1</v>
      </c>
      <c r="J17" s="248"/>
      <c r="K17" s="249"/>
      <c r="M17" s="237">
        <f>IFERROR(G17/G$198,0)</f>
        <v>179.65546753481644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28360.460000000003</v>
      </c>
    </row>
    <row r="19" spans="1:14">
      <c r="A19" s="31" t="s">
        <v>336</v>
      </c>
      <c r="B19" s="187" t="s">
        <v>157</v>
      </c>
      <c r="C19" s="168"/>
      <c r="D19" s="25"/>
      <c r="F19" s="321" t="s">
        <v>393</v>
      </c>
      <c r="G19" s="25"/>
      <c r="J19" s="250" t="s">
        <v>309</v>
      </c>
      <c r="K19" s="251">
        <f>K183</f>
        <v>29724.023333333331</v>
      </c>
    </row>
    <row r="20" spans="1:14">
      <c r="A20" s="188" t="s">
        <v>197</v>
      </c>
      <c r="B20" s="164" t="s">
        <v>19</v>
      </c>
      <c r="F20" s="320" t="s">
        <v>394</v>
      </c>
    </row>
    <row r="21" spans="1:14" s="43" customFormat="1">
      <c r="A21" s="130" t="s">
        <v>198</v>
      </c>
      <c r="B21" s="116" t="s">
        <v>20</v>
      </c>
      <c r="C21" s="273">
        <f>'[2]Sch C'!D10</f>
        <v>7833</v>
      </c>
      <c r="D21" s="273">
        <f>'[2]Sch C'!F10</f>
        <v>0</v>
      </c>
      <c r="E21" s="259">
        <f t="shared" ref="E21:E56" si="2">SUM(C21:D21)</f>
        <v>7833</v>
      </c>
      <c r="F21" s="180">
        <v>16747</v>
      </c>
      <c r="G21" s="180">
        <f t="shared" ref="G21:G57" si="3">IF(ISERROR(E21+F21),"",(E21+F21))</f>
        <v>24580</v>
      </c>
      <c r="H21" s="181">
        <f>IF(ISERROR(G21/$G$183),"",(G21/$G$183))</f>
        <v>2.3230070189874445E-2</v>
      </c>
      <c r="J21" s="261">
        <f>268.413333333333+490</f>
        <v>758.41333333333296</v>
      </c>
      <c r="K21" s="261">
        <f>306.133333333333+554</f>
        <v>860.13333333333298</v>
      </c>
      <c r="M21" s="237">
        <f>IFERROR(G21/G$198,0)</f>
        <v>4.4456502079942126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'[2]Sch C'!D11</f>
        <v>0</v>
      </c>
      <c r="D22" s="273">
        <f>'[2]Sch C'!F11</f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'[2]Sch C'!D12</f>
        <v>4731</v>
      </c>
      <c r="D23" s="273">
        <f>'[2]Sch C'!F12</f>
        <v>0</v>
      </c>
      <c r="E23" s="259">
        <f t="shared" si="2"/>
        <v>4731</v>
      </c>
      <c r="F23" s="183">
        <v>9034</v>
      </c>
      <c r="G23" s="183">
        <f t="shared" si="3"/>
        <v>13765</v>
      </c>
      <c r="H23" s="181">
        <f t="shared" si="4"/>
        <v>1.3009028322360526E-2</v>
      </c>
      <c r="J23" s="189">
        <f>280.44+471</f>
        <v>751.44</v>
      </c>
      <c r="K23" s="189">
        <f>295.2+541</f>
        <v>836.2</v>
      </c>
      <c r="M23" s="237">
        <f t="shared" si="5"/>
        <v>2.4896002893832518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'[2]Sch C'!D13</f>
        <v>15220</v>
      </c>
      <c r="D24" s="273">
        <f>'[2]Sch C'!F13</f>
        <v>-13951</v>
      </c>
      <c r="E24" s="259">
        <f t="shared" si="2"/>
        <v>1269</v>
      </c>
      <c r="F24" s="183">
        <v>4214</v>
      </c>
      <c r="G24" s="183">
        <f t="shared" si="3"/>
        <v>5483</v>
      </c>
      <c r="H24" s="181">
        <f t="shared" si="4"/>
        <v>5.1818744853979488E-3</v>
      </c>
      <c r="J24" s="136"/>
      <c r="K24" s="136"/>
      <c r="M24" s="237">
        <f t="shared" si="5"/>
        <v>0.99168023150660156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'[2]Sch C'!D14</f>
        <v>0</v>
      </c>
      <c r="D25" s="273">
        <f>'[2]Sch C'!F14</f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'[2]Sch C'!D15</f>
        <v>19578</v>
      </c>
      <c r="D26" s="273">
        <f>'[2]Sch C'!F15</f>
        <v>0</v>
      </c>
      <c r="E26" s="259">
        <f t="shared" si="2"/>
        <v>19578</v>
      </c>
      <c r="F26" s="183">
        <v>40099</v>
      </c>
      <c r="G26" s="183">
        <f t="shared" si="3"/>
        <v>59677</v>
      </c>
      <c r="H26" s="181">
        <f t="shared" si="4"/>
        <v>5.6399548361315596E-2</v>
      </c>
      <c r="J26" s="136"/>
      <c r="K26" s="136"/>
      <c r="M26" s="237">
        <f t="shared" si="5"/>
        <v>10.793452703924761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'[2]Sch C'!D16</f>
        <v>68818</v>
      </c>
      <c r="D27" s="273">
        <f>'[2]Sch C'!F16</f>
        <v>1420.78</v>
      </c>
      <c r="E27" s="259">
        <f t="shared" si="2"/>
        <v>70238.78</v>
      </c>
      <c r="F27" s="183">
        <v>35587</v>
      </c>
      <c r="G27" s="183">
        <f t="shared" si="3"/>
        <v>105825.78</v>
      </c>
      <c r="H27" s="181">
        <f t="shared" si="4"/>
        <v>0.10001384447917866</v>
      </c>
      <c r="J27" s="136"/>
      <c r="K27" s="136"/>
      <c r="M27" s="237">
        <f t="shared" si="5"/>
        <v>19.140130222463373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'[2]Sch C'!D17</f>
        <v>0</v>
      </c>
      <c r="D28" s="273">
        <f>'[2]Sch C'!F17</f>
        <v>0</v>
      </c>
      <c r="E28" s="259">
        <f t="shared" si="2"/>
        <v>0</v>
      </c>
      <c r="F28" s="183">
        <v>281</v>
      </c>
      <c r="G28" s="183">
        <f t="shared" si="3"/>
        <v>281</v>
      </c>
      <c r="H28" s="181">
        <f t="shared" si="4"/>
        <v>2.655675233260667E-4</v>
      </c>
      <c r="J28" s="136"/>
      <c r="K28" s="136"/>
      <c r="M28" s="237">
        <f t="shared" si="5"/>
        <v>5.0822933622716587E-2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'[2]Sch C'!D18</f>
        <v>4111</v>
      </c>
      <c r="D29" s="273">
        <f>'[2]Sch C'!F18</f>
        <v>0</v>
      </c>
      <c r="E29" s="259">
        <f t="shared" si="2"/>
        <v>4111</v>
      </c>
      <c r="F29" s="183">
        <v>7386</v>
      </c>
      <c r="G29" s="183">
        <f t="shared" si="3"/>
        <v>11497</v>
      </c>
      <c r="H29" s="181">
        <f t="shared" si="4"/>
        <v>1.0865586532668288E-2</v>
      </c>
      <c r="J29" s="136"/>
      <c r="K29" s="136"/>
      <c r="M29" s="237">
        <f t="shared" si="5"/>
        <v>2.0793995297522154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'[2]Sch C'!D19</f>
        <v>555</v>
      </c>
      <c r="D30" s="273">
        <f>'[2]Sch C'!F19</f>
        <v>0</v>
      </c>
      <c r="E30" s="259">
        <f t="shared" si="2"/>
        <v>555</v>
      </c>
      <c r="F30" s="183">
        <v>1303</v>
      </c>
      <c r="G30" s="183">
        <f t="shared" si="3"/>
        <v>1858</v>
      </c>
      <c r="H30" s="181">
        <f t="shared" si="4"/>
        <v>1.7559589264762702E-3</v>
      </c>
      <c r="J30" s="136"/>
      <c r="K30" s="136"/>
      <c r="M30" s="237">
        <f t="shared" si="5"/>
        <v>0.3360463013203111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'[2]Sch C'!D20</f>
        <v>1378</v>
      </c>
      <c r="D31" s="273">
        <f>'[2]Sch C'!F20</f>
        <v>-1239.55</v>
      </c>
      <c r="E31" s="259">
        <f t="shared" si="2"/>
        <v>138.45000000000005</v>
      </c>
      <c r="F31" s="183">
        <v>159</v>
      </c>
      <c r="G31" s="183">
        <f t="shared" si="3"/>
        <v>297.45000000000005</v>
      </c>
      <c r="H31" s="181">
        <f t="shared" si="4"/>
        <v>2.8111409186241476E-4</v>
      </c>
      <c r="J31" s="136"/>
      <c r="K31" s="136"/>
      <c r="M31" s="237">
        <f t="shared" si="5"/>
        <v>5.3798155181768864E-2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'[2]Sch C'!D21</f>
        <v>0</v>
      </c>
      <c r="D32" s="273">
        <f>'[2]Sch C'!F21</f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'[2]Sch C'!D22</f>
        <v>0</v>
      </c>
      <c r="D33" s="273">
        <f>'[2]Sch C'!F22</f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'[2]Sch C'!D23</f>
        <v>2388</v>
      </c>
      <c r="D34" s="273">
        <f>'[2]Sch C'!F23</f>
        <v>0</v>
      </c>
      <c r="E34" s="259">
        <f t="shared" si="2"/>
        <v>2388</v>
      </c>
      <c r="F34" s="330">
        <f>(3781-199)</f>
        <v>3582</v>
      </c>
      <c r="G34" s="183">
        <f t="shared" si="3"/>
        <v>5970</v>
      </c>
      <c r="H34" s="181">
        <f t="shared" si="4"/>
        <v>5.642128520486186E-3</v>
      </c>
      <c r="J34" s="136"/>
      <c r="K34" s="136"/>
      <c r="M34" s="237">
        <f t="shared" si="5"/>
        <v>1.0797612588171459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'[2]Sch C'!D24</f>
        <v>0</v>
      </c>
      <c r="D35" s="273">
        <f>'[2]Sch C'!F24</f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'[2]Sch C'!D25</f>
        <v>565</v>
      </c>
      <c r="D36" s="273">
        <f>'[2]Sch C'!F25</f>
        <v>-147.91</v>
      </c>
      <c r="E36" s="259">
        <f t="shared" si="2"/>
        <v>417.09000000000003</v>
      </c>
      <c r="F36" s="183">
        <v>0</v>
      </c>
      <c r="G36" s="183">
        <f t="shared" si="3"/>
        <v>417.09000000000003</v>
      </c>
      <c r="H36" s="181">
        <f t="shared" si="4"/>
        <v>3.9418348150914293E-4</v>
      </c>
      <c r="J36" s="136"/>
      <c r="K36" s="136"/>
      <c r="M36" s="237">
        <f t="shared" si="5"/>
        <v>7.5436787845903422E-2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'[2]Sch C'!D26</f>
        <v>16032</v>
      </c>
      <c r="D37" s="273">
        <f>'[2]Sch C'!F26</f>
        <v>0</v>
      </c>
      <c r="E37" s="259">
        <f t="shared" si="2"/>
        <v>16032</v>
      </c>
      <c r="F37" s="183">
        <v>30744</v>
      </c>
      <c r="G37" s="183">
        <f t="shared" si="3"/>
        <v>46776</v>
      </c>
      <c r="H37" s="181">
        <f t="shared" si="4"/>
        <v>4.4207069292171157E-2</v>
      </c>
      <c r="J37" s="136"/>
      <c r="K37" s="136"/>
      <c r="M37" s="237">
        <f t="shared" si="5"/>
        <v>8.4601193705914266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'[2]Sch C'!D27</f>
        <v>0</v>
      </c>
      <c r="D38" s="273">
        <f>'[2]Sch C'!F27</f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'[2]Sch C'!D28</f>
        <v>0</v>
      </c>
      <c r="D39" s="273">
        <f>'[2]Sch C'!F28</f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'[2]Sch C'!D29</f>
        <v>0</v>
      </c>
      <c r="D40" s="273">
        <f>'[2]Sch C'!F29</f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'[2]Sch C'!D30</f>
        <v>0</v>
      </c>
      <c r="D41" s="273">
        <f>'[2]Sch C'!F30</f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'[2]Sch C'!D31</f>
        <v>3830</v>
      </c>
      <c r="D42" s="273">
        <f>'[2]Sch C'!F31</f>
        <v>0</v>
      </c>
      <c r="E42" s="259">
        <f t="shared" si="2"/>
        <v>3830</v>
      </c>
      <c r="F42" s="183">
        <v>5959</v>
      </c>
      <c r="G42" s="183">
        <f t="shared" si="3"/>
        <v>9789</v>
      </c>
      <c r="H42" s="181">
        <f t="shared" si="4"/>
        <v>9.2513896293198103E-3</v>
      </c>
      <c r="J42" s="136"/>
      <c r="K42" s="136"/>
      <c r="M42" s="237">
        <f t="shared" si="5"/>
        <v>1.770482908301682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'[2]Sch C'!D32</f>
        <v>0</v>
      </c>
      <c r="D43" s="273">
        <f>'[2]Sch C'!F32</f>
        <v>0</v>
      </c>
      <c r="E43" s="259">
        <f t="shared" si="2"/>
        <v>0</v>
      </c>
      <c r="F43" s="183">
        <v>1511</v>
      </c>
      <c r="G43" s="183">
        <f t="shared" si="3"/>
        <v>1511</v>
      </c>
      <c r="H43" s="181">
        <f t="shared" si="4"/>
        <v>1.4280161129739742E-3</v>
      </c>
      <c r="J43" s="136"/>
      <c r="K43" s="136"/>
      <c r="M43" s="237">
        <f t="shared" si="5"/>
        <v>0.27328630855489239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'[2]Sch C'!D33</f>
        <v>0</v>
      </c>
      <c r="D44" s="273">
        <f>'[2]Sch C'!F33</f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'[2]Sch C'!D34</f>
        <v>0</v>
      </c>
      <c r="D45" s="273">
        <f>'[2]Sch C'!F34</f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'[2]Sch C'!D35</f>
        <v>0</v>
      </c>
      <c r="D46" s="273">
        <f>'[2]Sch C'!F35</f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'[2]Sch C'!D36</f>
        <v>0</v>
      </c>
      <c r="D47" s="273">
        <f>'[2]Sch C'!F36</f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'[2]Sch C'!D37</f>
        <v>0</v>
      </c>
      <c r="D48" s="273">
        <f>'[2]Sch C'!F37</f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'[2]Sch C'!D38</f>
        <v>0</v>
      </c>
      <c r="D49" s="273">
        <f>'[2]Sch C'!F38</f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'[2]Sch C'!D39</f>
        <v>20</v>
      </c>
      <c r="D50" s="273">
        <f>'[2]Sch C'!F39</f>
        <v>0</v>
      </c>
      <c r="E50" s="259">
        <f t="shared" si="2"/>
        <v>20</v>
      </c>
      <c r="F50" s="330">
        <v>199</v>
      </c>
      <c r="G50" s="183">
        <f t="shared" si="3"/>
        <v>219</v>
      </c>
      <c r="H50" s="181">
        <f t="shared" si="4"/>
        <v>2.0697255376657866E-4</v>
      </c>
      <c r="J50" s="136"/>
      <c r="K50" s="136"/>
      <c r="M50" s="237">
        <f t="shared" si="5"/>
        <v>3.9609332609875203E-2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'[2]Sch C'!D40</f>
        <v>0</v>
      </c>
      <c r="D51" s="273">
        <f>'[2]Sch C'!F40</f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'[2]Sch C'!D41</f>
        <v>1792</v>
      </c>
      <c r="D52" s="273">
        <f>'[2]Sch C'!F41</f>
        <v>0</v>
      </c>
      <c r="E52" s="259">
        <f t="shared" si="2"/>
        <v>1792</v>
      </c>
      <c r="F52" s="183">
        <v>2194</v>
      </c>
      <c r="G52" s="183">
        <f t="shared" si="3"/>
        <v>3986</v>
      </c>
      <c r="H52" s="181">
        <f t="shared" si="4"/>
        <v>3.7670894945825689E-3</v>
      </c>
      <c r="J52" s="136"/>
      <c r="K52" s="136"/>
      <c r="M52" s="237">
        <f t="shared" si="5"/>
        <v>0.72092602640622172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'[2]Sch C'!D42</f>
        <v>0</v>
      </c>
      <c r="D53" s="273">
        <f>'[2]Sch C'!F42</f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'[2]Sch C'!D43</f>
        <v>643</v>
      </c>
      <c r="D54" s="273">
        <f>'[2]Sch C'!F43</f>
        <v>0</v>
      </c>
      <c r="E54" s="259">
        <f t="shared" si="2"/>
        <v>643</v>
      </c>
      <c r="F54" s="183">
        <v>877</v>
      </c>
      <c r="G54" s="183">
        <f t="shared" si="3"/>
        <v>1520</v>
      </c>
      <c r="H54" s="181">
        <f t="shared" si="4"/>
        <v>1.4365218343616419E-3</v>
      </c>
      <c r="J54" s="136"/>
      <c r="K54" s="136"/>
      <c r="M54" s="237">
        <f t="shared" si="5"/>
        <v>0.27491408934707906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'[2]Sch C'!D44</f>
        <v>0</v>
      </c>
      <c r="D55" s="273">
        <f>'[2]Sch C'!F44</f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'[2]Sch C'!D45</f>
        <v>0</v>
      </c>
      <c r="D56" s="273">
        <f>'[2]Sch C'!F45</f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147494</v>
      </c>
      <c r="D57" s="273">
        <f>SUM(D21:D56)</f>
        <v>-13917.679999999998</v>
      </c>
      <c r="E57" s="183">
        <f>SUM(E21:E56)</f>
        <v>133576.32000000001</v>
      </c>
      <c r="F57" s="183">
        <f>SUM(F21:F56)</f>
        <v>159876</v>
      </c>
      <c r="G57" s="183">
        <f t="shared" si="3"/>
        <v>293452.32</v>
      </c>
      <c r="H57" s="181">
        <f t="shared" si="4"/>
        <v>0.27733596383163128</v>
      </c>
      <c r="J57" s="136"/>
      <c r="K57" s="136"/>
      <c r="M57" s="237">
        <f t="shared" si="5"/>
        <v>53.07511665762344</v>
      </c>
      <c r="N57" s="243">
        <f>SUMMARY!M57</f>
        <v>39.672950949912064</v>
      </c>
      <c r="O57" s="238">
        <f>M57/N57-1</f>
        <v>0.33781620441171345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'[2]Sch C'!D57</f>
        <v>426</v>
      </c>
      <c r="D60" s="273">
        <f>'[2]Sch C'!F57</f>
        <v>0</v>
      </c>
      <c r="E60" s="259">
        <f t="shared" ref="E60:E76" si="6">SUM(C60:D60)</f>
        <v>426</v>
      </c>
      <c r="F60" s="332">
        <f>(28638-426)</f>
        <v>28212</v>
      </c>
      <c r="G60" s="179">
        <f>IF(ISERROR(E60+F60),"",(E60+F60))</f>
        <v>28638</v>
      </c>
      <c r="H60" s="181">
        <f>IF(ISERROR(G60/$G$183),"",(G60/$G$183))</f>
        <v>2.7065205455558357E-2</v>
      </c>
      <c r="J60" s="136"/>
      <c r="K60" s="136"/>
      <c r="M60" s="237">
        <f>IFERROR(G60/G$198,0)</f>
        <v>5.1795984807379272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'[2]Sch C'!D58</f>
        <v>4100</v>
      </c>
      <c r="D61" s="273">
        <f>'[2]Sch C'!F58</f>
        <v>0</v>
      </c>
      <c r="E61" s="259">
        <f t="shared" si="6"/>
        <v>4100</v>
      </c>
      <c r="F61" s="179">
        <v>0</v>
      </c>
      <c r="G61" s="179">
        <f t="shared" ref="G61:G76" si="7">IF(ISERROR(E61+F61),"",(E61+F61))</f>
        <v>4100</v>
      </c>
      <c r="H61" s="181">
        <f t="shared" ref="H61:H76" si="8">IF(ISERROR(G61/$G$183),"",(G61/$G$183))</f>
        <v>3.8748286321596921E-3</v>
      </c>
      <c r="J61" s="136"/>
      <c r="K61" s="136"/>
      <c r="M61" s="237">
        <f t="shared" ref="M61:M77" si="9">IFERROR(G61/G$198,0)</f>
        <v>0.74154458310725269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'[2]Sch C'!D59</f>
        <v>10471</v>
      </c>
      <c r="D62" s="273">
        <f>'[2]Sch C'!F59</f>
        <v>-896.01</v>
      </c>
      <c r="E62" s="259">
        <f t="shared" si="6"/>
        <v>9574.99</v>
      </c>
      <c r="F62" s="179">
        <v>2068</v>
      </c>
      <c r="G62" s="179">
        <f t="shared" si="7"/>
        <v>11642.99</v>
      </c>
      <c r="H62" s="181">
        <f t="shared" si="8"/>
        <v>1.1003558784377797E-2</v>
      </c>
      <c r="J62" s="136"/>
      <c r="K62" s="136"/>
      <c r="M62" s="237">
        <f t="shared" si="9"/>
        <v>2.1058039428468076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'[2]Sch C'!D60</f>
        <v>0</v>
      </c>
      <c r="D63" s="273">
        <f>'[2]Sch C'!F60</f>
        <v>0</v>
      </c>
      <c r="E63" s="259">
        <f t="shared" si="6"/>
        <v>0</v>
      </c>
      <c r="F63" s="179">
        <v>663</v>
      </c>
      <c r="G63" s="179">
        <f t="shared" si="7"/>
        <v>663</v>
      </c>
      <c r="H63" s="181">
        <f t="shared" si="8"/>
        <v>6.2658814222484776E-4</v>
      </c>
      <c r="J63" s="136"/>
      <c r="K63" s="136"/>
      <c r="M63" s="237">
        <f t="shared" si="9"/>
        <v>0.11991318502441671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'[2]Sch C'!D61</f>
        <v>761</v>
      </c>
      <c r="D64" s="273">
        <f>'[2]Sch C'!F61</f>
        <v>0</v>
      </c>
      <c r="E64" s="259">
        <f t="shared" si="6"/>
        <v>761</v>
      </c>
      <c r="F64" s="179">
        <v>1810</v>
      </c>
      <c r="G64" s="179">
        <f t="shared" si="7"/>
        <v>2571</v>
      </c>
      <c r="H64" s="181">
        <f t="shared" si="8"/>
        <v>2.4298010764103825E-3</v>
      </c>
      <c r="J64" s="136"/>
      <c r="K64" s="136"/>
      <c r="M64" s="237">
        <f t="shared" si="9"/>
        <v>0.46500271296798695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'[2]Sch C'!D62</f>
        <v>0</v>
      </c>
      <c r="D65" s="273">
        <f>'[2]Sch C'!F62</f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'[2]Sch C'!D63</f>
        <v>0</v>
      </c>
      <c r="D66" s="273">
        <f>'[2]Sch C'!F63</f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'[2]Sch C'!D64</f>
        <v>2643</v>
      </c>
      <c r="D67" s="273">
        <f>'[2]Sch C'!F64</f>
        <v>0</v>
      </c>
      <c r="E67" s="259">
        <f t="shared" si="6"/>
        <v>2643</v>
      </c>
      <c r="F67" s="179">
        <v>0</v>
      </c>
      <c r="G67" s="179">
        <f t="shared" si="7"/>
        <v>2643</v>
      </c>
      <c r="H67" s="181">
        <f t="shared" si="8"/>
        <v>2.4978468475117233E-3</v>
      </c>
      <c r="J67" s="136"/>
      <c r="K67" s="136"/>
      <c r="M67" s="237">
        <f t="shared" si="9"/>
        <v>0.47802495930548017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'[2]Sch C'!D65</f>
        <v>352</v>
      </c>
      <c r="D68" s="273">
        <f>'[2]Sch C'!F65</f>
        <v>0</v>
      </c>
      <c r="E68" s="259">
        <f t="shared" si="6"/>
        <v>352</v>
      </c>
      <c r="F68" s="179">
        <v>0</v>
      </c>
      <c r="G68" s="179">
        <f t="shared" si="7"/>
        <v>352</v>
      </c>
      <c r="H68" s="181">
        <f t="shared" si="8"/>
        <v>3.3266821427322231E-4</v>
      </c>
      <c r="J68" s="136"/>
      <c r="K68" s="136"/>
      <c r="M68" s="237">
        <f t="shared" si="9"/>
        <v>6.3664315427744617E-2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'[2]Sch C'!D66</f>
        <v>0</v>
      </c>
      <c r="D69" s="273">
        <f>'[2]Sch C'!F66</f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'[2]Sch C'!D67</f>
        <v>883</v>
      </c>
      <c r="D70" s="273">
        <f>'[2]Sch C'!F67</f>
        <v>0</v>
      </c>
      <c r="E70" s="259">
        <f t="shared" si="6"/>
        <v>883</v>
      </c>
      <c r="F70" s="179">
        <v>1156</v>
      </c>
      <c r="G70" s="179">
        <f t="shared" si="7"/>
        <v>2039</v>
      </c>
      <c r="H70" s="181">
        <f t="shared" si="8"/>
        <v>1.9270184343838077E-3</v>
      </c>
      <c r="J70" s="136"/>
      <c r="K70" s="136"/>
      <c r="M70" s="237">
        <f t="shared" si="9"/>
        <v>0.3687827816965093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'[2]Sch C'!D68</f>
        <v>0</v>
      </c>
      <c r="D71" s="273">
        <f>'[2]Sch C'!F68</f>
        <v>0</v>
      </c>
      <c r="E71" s="259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'[2]Sch C'!D69</f>
        <v>412</v>
      </c>
      <c r="D72" s="273">
        <f>'[2]Sch C'!F69</f>
        <v>0</v>
      </c>
      <c r="E72" s="259">
        <f t="shared" si="6"/>
        <v>412</v>
      </c>
      <c r="F72" s="179">
        <v>0</v>
      </c>
      <c r="G72" s="179">
        <f t="shared" si="7"/>
        <v>412</v>
      </c>
      <c r="H72" s="181">
        <f t="shared" si="8"/>
        <v>3.893730235243398E-4</v>
      </c>
      <c r="J72" s="136"/>
      <c r="K72" s="136"/>
      <c r="M72" s="237">
        <f t="shared" si="9"/>
        <v>7.4516187375655629E-2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'[2]Sch C'!D70</f>
        <v>0</v>
      </c>
      <c r="D73" s="273">
        <f>'[2]Sch C'!F70</f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'[2]Sch C'!D71</f>
        <v>0</v>
      </c>
      <c r="D74" s="273">
        <f>'[2]Sch C'!F71</f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'[2]Sch C'!D72</f>
        <v>0</v>
      </c>
      <c r="D75" s="273">
        <f>'[2]Sch C'!F72</f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'[2]Sch C'!D73</f>
        <v>0</v>
      </c>
      <c r="D76" s="273">
        <f>'[2]Sch C'!F73</f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20048</v>
      </c>
      <c r="D77" s="273">
        <f>SUM(D60:D76)</f>
        <v>-896.01</v>
      </c>
      <c r="E77" s="182">
        <f>SUM(E60:E76)</f>
        <v>19151.989999999998</v>
      </c>
      <c r="F77" s="182">
        <f>SUM(F60:F76)</f>
        <v>33909</v>
      </c>
      <c r="G77" s="183">
        <f>IF(ISERROR(E77+F77),"",(E77+F77))</f>
        <v>53060.99</v>
      </c>
      <c r="H77" s="181">
        <f>IF(ISERROR(G77/$G$183),"",(G77/$G$183))</f>
        <v>5.014688861042417E-2</v>
      </c>
      <c r="J77" s="136"/>
      <c r="K77" s="136"/>
      <c r="M77" s="237">
        <f t="shared" si="9"/>
        <v>9.5968511484897814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'[2]Sch C'!D78</f>
        <v>4651</v>
      </c>
      <c r="D80" s="273">
        <f>'[2]Sch C'!F78</f>
        <v>0</v>
      </c>
      <c r="E80" s="259">
        <f t="shared" ref="E80:E91" si="10">SUM(C80:D80)</f>
        <v>4651</v>
      </c>
      <c r="F80" s="180">
        <v>7266</v>
      </c>
      <c r="G80" s="180">
        <f>IF(ISERROR(E80+F80),"",(E80+F80))</f>
        <v>11917</v>
      </c>
      <c r="H80" s="181">
        <f t="shared" ref="H80:H92" si="11">IF(ISERROR(G80/$G$183),"",(G80/$G$183))</f>
        <v>1.126252019742611E-2</v>
      </c>
      <c r="J80" s="261">
        <f>334+508</f>
        <v>842</v>
      </c>
      <c r="K80" s="261">
        <f>354+520</f>
        <v>874</v>
      </c>
      <c r="M80" s="237">
        <f t="shared" ref="M80:M92" si="12">IFERROR(G80/G$198,0)</f>
        <v>2.1553626333875928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'[2]Sch C'!D79</f>
        <v>0</v>
      </c>
      <c r="D81" s="273">
        <f>'[2]Sch C'!F79</f>
        <v>470</v>
      </c>
      <c r="E81" s="259">
        <f t="shared" si="10"/>
        <v>470</v>
      </c>
      <c r="F81" s="183">
        <v>750</v>
      </c>
      <c r="G81" s="183">
        <f>IF(ISERROR(E81+F81),"",(E81+F81))</f>
        <v>1220</v>
      </c>
      <c r="H81" s="181">
        <f t="shared" si="11"/>
        <v>1.1529977881060546E-3</v>
      </c>
      <c r="J81" s="136"/>
      <c r="K81" s="136"/>
      <c r="M81" s="237">
        <f t="shared" si="12"/>
        <v>0.22065472960752397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'[2]Sch C'!D80</f>
        <v>187</v>
      </c>
      <c r="D82" s="273">
        <f>'[2]Sch C'!F80</f>
        <v>0</v>
      </c>
      <c r="E82" s="259">
        <f t="shared" si="10"/>
        <v>187</v>
      </c>
      <c r="F82" s="183">
        <v>907</v>
      </c>
      <c r="G82" s="183">
        <f>IF(ISERROR(E82+F82),"",(E82+F82))</f>
        <v>1094</v>
      </c>
      <c r="H82" s="181">
        <f t="shared" si="11"/>
        <v>1.0339176886787081E-3</v>
      </c>
      <c r="J82" s="136"/>
      <c r="K82" s="136"/>
      <c r="M82" s="237">
        <f t="shared" si="12"/>
        <v>0.19786579851691083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'[2]Sch C'!D81</f>
        <v>0</v>
      </c>
      <c r="D83" s="273">
        <f>'[2]Sch C'!F81</f>
        <v>0</v>
      </c>
      <c r="E83" s="259">
        <f t="shared" si="10"/>
        <v>0</v>
      </c>
      <c r="F83" s="330">
        <f>(6644+426)</f>
        <v>7070</v>
      </c>
      <c r="G83" s="183">
        <f>IF(ISERROR(E83+F83),"",(E83+F83))</f>
        <v>7070</v>
      </c>
      <c r="H83" s="181">
        <f t="shared" si="11"/>
        <v>6.681716690090005E-3</v>
      </c>
      <c r="J83" s="136"/>
      <c r="K83" s="136"/>
      <c r="M83" s="237">
        <f t="shared" si="12"/>
        <v>1.2787122445288479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'[2]Sch C'!D82</f>
        <v>0</v>
      </c>
      <c r="D84" s="273">
        <f>'[2]Sch C'!F82</f>
        <v>0</v>
      </c>
      <c r="E84" s="259">
        <f t="shared" si="10"/>
        <v>0</v>
      </c>
      <c r="F84" s="183">
        <v>0</v>
      </c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'[2]Sch C'!D83</f>
        <v>1349</v>
      </c>
      <c r="D85" s="273">
        <f>'[2]Sch C'!F83</f>
        <v>0</v>
      </c>
      <c r="E85" s="259">
        <f t="shared" si="10"/>
        <v>1349</v>
      </c>
      <c r="F85" s="183">
        <v>340</v>
      </c>
      <c r="G85" s="183">
        <f t="shared" si="13"/>
        <v>1689</v>
      </c>
      <c r="H85" s="181">
        <f t="shared" si="11"/>
        <v>1.596240380418956E-3</v>
      </c>
      <c r="J85" s="136"/>
      <c r="K85" s="136"/>
      <c r="M85" s="237">
        <f t="shared" si="12"/>
        <v>0.30548019533369508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'[2]Sch C'!D84</f>
        <v>21</v>
      </c>
      <c r="D86" s="273">
        <f>'[2]Sch C'!F84</f>
        <v>0</v>
      </c>
      <c r="E86" s="259">
        <f t="shared" si="10"/>
        <v>21</v>
      </c>
      <c r="F86" s="183">
        <v>23658</v>
      </c>
      <c r="G86" s="183">
        <f t="shared" si="13"/>
        <v>23679</v>
      </c>
      <c r="H86" s="181">
        <f t="shared" si="11"/>
        <v>2.2378552970953498E-2</v>
      </c>
      <c r="J86" s="136"/>
      <c r="K86" s="136"/>
      <c r="M86" s="237">
        <f t="shared" si="12"/>
        <v>4.2826912642430823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'[2]Sch C'!D85</f>
        <v>6440</v>
      </c>
      <c r="D87" s="273">
        <f>'[2]Sch C'!F85</f>
        <v>0</v>
      </c>
      <c r="E87" s="259">
        <f t="shared" si="10"/>
        <v>6440</v>
      </c>
      <c r="F87" s="183">
        <v>0</v>
      </c>
      <c r="G87" s="183">
        <f t="shared" si="13"/>
        <v>6440</v>
      </c>
      <c r="H87" s="181">
        <f t="shared" si="11"/>
        <v>6.0863161929532719E-3</v>
      </c>
      <c r="J87" s="136"/>
      <c r="K87" s="136"/>
      <c r="M87" s="237">
        <f t="shared" si="12"/>
        <v>1.1647675890757823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'[2]Sch C'!D86</f>
        <v>0</v>
      </c>
      <c r="D88" s="273">
        <f>'[2]Sch C'!F86</f>
        <v>0</v>
      </c>
      <c r="E88" s="259">
        <f t="shared" si="10"/>
        <v>0</v>
      </c>
      <c r="F88" s="330">
        <f>(719+5182)</f>
        <v>5901</v>
      </c>
      <c r="G88" s="183">
        <f t="shared" si="13"/>
        <v>5901</v>
      </c>
      <c r="H88" s="181">
        <f t="shared" si="11"/>
        <v>5.5769179898474009E-3</v>
      </c>
      <c r="J88" s="136"/>
      <c r="K88" s="136"/>
      <c r="M88" s="237">
        <f t="shared" si="12"/>
        <v>1.0672816060770483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'[2]Sch C'!D87</f>
        <v>3742</v>
      </c>
      <c r="D89" s="273">
        <f>'[2]Sch C'!F87</f>
        <v>0</v>
      </c>
      <c r="E89" s="259">
        <f t="shared" si="10"/>
        <v>3742</v>
      </c>
      <c r="F89" s="330">
        <f>(6558+1054+1385)</f>
        <v>8997</v>
      </c>
      <c r="G89" s="183">
        <f t="shared" si="13"/>
        <v>12739</v>
      </c>
      <c r="H89" s="181">
        <f t="shared" si="11"/>
        <v>1.2039376084166418E-2</v>
      </c>
      <c r="J89" s="136"/>
      <c r="K89" s="136"/>
      <c r="M89" s="237">
        <f t="shared" si="12"/>
        <v>2.3040332790739737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'[2]Sch C'!D88</f>
        <v>0</v>
      </c>
      <c r="D90" s="273">
        <f>'[2]Sch C'!F88</f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'[2]Sch C'!D89</f>
        <v>5005</v>
      </c>
      <c r="D91" s="273">
        <f>'[2]Sch C'!F89</f>
        <v>0</v>
      </c>
      <c r="E91" s="259">
        <f t="shared" si="10"/>
        <v>5005</v>
      </c>
      <c r="F91" s="330">
        <f>(9962-719-1054-5182-1385)</f>
        <v>1622</v>
      </c>
      <c r="G91" s="183">
        <f t="shared" si="13"/>
        <v>6627</v>
      </c>
      <c r="H91" s="181">
        <f t="shared" si="11"/>
        <v>6.2630461817859218E-3</v>
      </c>
      <c r="J91" s="136"/>
      <c r="K91" s="136"/>
      <c r="M91" s="237">
        <f t="shared" si="12"/>
        <v>1.1985892566467715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21395</v>
      </c>
      <c r="D92" s="273">
        <f>SUM(D80:D91)</f>
        <v>470</v>
      </c>
      <c r="E92" s="183">
        <f>SUM(E80:E91)</f>
        <v>21865</v>
      </c>
      <c r="F92" s="183">
        <f>SUM(F80:F91)</f>
        <v>56511</v>
      </c>
      <c r="G92" s="183">
        <f>IF(ISERROR(E92+F92),"",(E92+F92))</f>
        <v>78376</v>
      </c>
      <c r="H92" s="181">
        <f t="shared" si="11"/>
        <v>7.4071602164426348E-2</v>
      </c>
      <c r="J92" s="136"/>
      <c r="K92" s="136"/>
      <c r="M92" s="237">
        <f t="shared" si="12"/>
        <v>14.175438596491228</v>
      </c>
      <c r="N92" s="243">
        <f>SUMMARY!M92</f>
        <v>10.36414021133649</v>
      </c>
      <c r="O92" s="238">
        <f>M92/N92-1</f>
        <v>0.36773898340219935</v>
      </c>
      <c r="P92" s="178">
        <f>IF(O92&gt;=0.2,0.6,0)</f>
        <v>0.6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'[2]Sch C'!D93</f>
        <v>6235</v>
      </c>
      <c r="D95" s="273">
        <f>'[2]Sch C'!F93</f>
        <v>0</v>
      </c>
      <c r="E95" s="259">
        <f t="shared" ref="E95:E100" si="14">SUM(C95:D95)</f>
        <v>6235</v>
      </c>
      <c r="F95" s="180">
        <v>8896</v>
      </c>
      <c r="G95" s="180">
        <f t="shared" ref="G95:G101" si="15">IF(ISERROR(E95+F95),"",(E95+F95))</f>
        <v>15131</v>
      </c>
      <c r="H95" s="181">
        <f t="shared" ref="H95:H101" si="16">IF(ISERROR(G95/$G$183),"",(G95/$G$183))</f>
        <v>1.4300007812977633E-2</v>
      </c>
      <c r="J95" s="261">
        <f>395.643333333333+864</f>
        <v>1259.643333333333</v>
      </c>
      <c r="K95" s="261">
        <f>414.466666666667+908</f>
        <v>1322.4666666666669</v>
      </c>
      <c r="M95" s="237">
        <f t="shared" ref="M95:M101" si="17">IFERROR(G95/G$198,0)</f>
        <v>2.7366612407306925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'[2]Sch C'!D94</f>
        <v>0</v>
      </c>
      <c r="D96" s="273">
        <f>'[2]Sch C'!F94</f>
        <v>630</v>
      </c>
      <c r="E96" s="259">
        <f t="shared" si="14"/>
        <v>630</v>
      </c>
      <c r="F96" s="183">
        <v>866</v>
      </c>
      <c r="G96" s="183">
        <f t="shared" si="15"/>
        <v>1496</v>
      </c>
      <c r="H96" s="181">
        <f t="shared" si="16"/>
        <v>1.413839910661195E-3</v>
      </c>
      <c r="J96" s="136"/>
      <c r="K96" s="136"/>
      <c r="M96" s="237">
        <f t="shared" si="17"/>
        <v>0.27057334056791466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'[2]Sch C'!D95</f>
        <v>1000</v>
      </c>
      <c r="D97" s="273">
        <f>'[2]Sch C'!F95</f>
        <v>0</v>
      </c>
      <c r="E97" s="259">
        <f t="shared" si="14"/>
        <v>1000</v>
      </c>
      <c r="F97" s="183">
        <v>1750</v>
      </c>
      <c r="G97" s="183">
        <f t="shared" si="15"/>
        <v>2750</v>
      </c>
      <c r="H97" s="181">
        <f t="shared" si="16"/>
        <v>2.5989704240095496E-3</v>
      </c>
      <c r="J97" s="136"/>
      <c r="K97" s="136"/>
      <c r="M97" s="237">
        <f t="shared" si="17"/>
        <v>0.49737746427925483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'[2]Sch C'!D96</f>
        <v>16490</v>
      </c>
      <c r="D98" s="273">
        <f>'[2]Sch C'!F96</f>
        <v>0</v>
      </c>
      <c r="E98" s="259">
        <f t="shared" si="14"/>
        <v>16490</v>
      </c>
      <c r="F98" s="183">
        <v>28132</v>
      </c>
      <c r="G98" s="183">
        <f t="shared" si="15"/>
        <v>44622</v>
      </c>
      <c r="H98" s="181">
        <f t="shared" si="16"/>
        <v>4.2171366640056045E-2</v>
      </c>
      <c r="J98" s="136"/>
      <c r="K98" s="136"/>
      <c r="M98" s="237">
        <f t="shared" si="17"/>
        <v>8.0705371676614224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'[2]Sch C'!D97</f>
        <v>853</v>
      </c>
      <c r="D99" s="273">
        <f>'[2]Sch C'!F97</f>
        <v>0</v>
      </c>
      <c r="E99" s="259">
        <f t="shared" si="14"/>
        <v>853</v>
      </c>
      <c r="F99" s="183">
        <v>1437</v>
      </c>
      <c r="G99" s="183">
        <f t="shared" si="15"/>
        <v>2290</v>
      </c>
      <c r="H99" s="181">
        <f t="shared" si="16"/>
        <v>2.1642335530843155E-3</v>
      </c>
      <c r="J99" s="136"/>
      <c r="K99" s="136"/>
      <c r="M99" s="237">
        <f t="shared" si="17"/>
        <v>0.41417977934527039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'[2]Sch C'!D98</f>
        <v>105</v>
      </c>
      <c r="D100" s="273">
        <f>'[2]Sch C'!F98</f>
        <v>0</v>
      </c>
      <c r="E100" s="259">
        <f t="shared" si="14"/>
        <v>105</v>
      </c>
      <c r="F100" s="183">
        <v>70</v>
      </c>
      <c r="G100" s="183">
        <f t="shared" si="15"/>
        <v>175</v>
      </c>
      <c r="H100" s="181">
        <f t="shared" si="16"/>
        <v>1.6538902698242587E-4</v>
      </c>
      <c r="J100" s="136"/>
      <c r="K100" s="136"/>
      <c r="M100" s="237">
        <f t="shared" si="17"/>
        <v>3.1651293181407129E-2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24683</v>
      </c>
      <c r="D101" s="273">
        <f>SUM(D95:D100)</f>
        <v>630</v>
      </c>
      <c r="E101" s="183">
        <f>SUM(E95:E100)</f>
        <v>25313</v>
      </c>
      <c r="F101" s="183">
        <f>SUM(F95:F100)</f>
        <v>41151</v>
      </c>
      <c r="G101" s="183">
        <f t="shared" si="15"/>
        <v>66464</v>
      </c>
      <c r="H101" s="181">
        <f t="shared" si="16"/>
        <v>6.281380736777116E-2</v>
      </c>
      <c r="J101" s="136"/>
      <c r="K101" s="136"/>
      <c r="M101" s="237">
        <f t="shared" si="17"/>
        <v>12.020980285765962</v>
      </c>
      <c r="N101" s="243">
        <f>SUMMARY!M101</f>
        <v>14.116295917008408</v>
      </c>
      <c r="O101" s="238">
        <f>M101/N101-1</f>
        <v>-0.14843239639924577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'[2]Sch C'!D102</f>
        <v>3653</v>
      </c>
      <c r="D104" s="273">
        <f>'[2]Sch C'!F102</f>
        <v>0</v>
      </c>
      <c r="E104" s="259">
        <f t="shared" ref="E104:E109" si="18">SUM(C104:D104)</f>
        <v>3653</v>
      </c>
      <c r="F104" s="180">
        <v>1819</v>
      </c>
      <c r="G104" s="180">
        <f t="shared" ref="G104:G110" si="19">IF(ISERROR(E104+F104),"",(E104+F104))</f>
        <v>5472</v>
      </c>
      <c r="H104" s="181">
        <f t="shared" ref="H104:H110" si="20">IF(ISERROR(G104/$G$183),"",(G104/$G$183))</f>
        <v>5.1714786037019107E-3</v>
      </c>
      <c r="J104" s="261">
        <f>402.313333333333+174</f>
        <v>576.31333333333305</v>
      </c>
      <c r="K104" s="261">
        <f>410.376666666667+174</f>
        <v>584.37666666666701</v>
      </c>
      <c r="M104" s="237">
        <f t="shared" ref="M104:M110" si="21">IFERROR(G104/G$198,0)</f>
        <v>0.98969072164948457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'[2]Sch C'!D103</f>
        <v>0</v>
      </c>
      <c r="D105" s="273">
        <f>'[2]Sch C'!F103</f>
        <v>369</v>
      </c>
      <c r="E105" s="259">
        <f t="shared" si="18"/>
        <v>369</v>
      </c>
      <c r="F105" s="183">
        <v>206</v>
      </c>
      <c r="G105" s="183">
        <f t="shared" si="19"/>
        <v>575</v>
      </c>
      <c r="H105" s="181">
        <f t="shared" si="20"/>
        <v>5.4342108865654216E-4</v>
      </c>
      <c r="J105" s="136"/>
      <c r="K105" s="136"/>
      <c r="M105" s="237">
        <f t="shared" si="21"/>
        <v>0.10399710616748056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'[2]Sch C'!D104</f>
        <v>0</v>
      </c>
      <c r="D106" s="273">
        <f>'[2]Sch C'!F104</f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'[2]Sch C'!D105</f>
        <v>0</v>
      </c>
      <c r="D107" s="273">
        <f>'[2]Sch C'!F105</f>
        <v>0</v>
      </c>
      <c r="E107" s="259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'[2]Sch C'!D106</f>
        <v>1587</v>
      </c>
      <c r="D108" s="273">
        <f>'[2]Sch C'!F106</f>
        <v>0</v>
      </c>
      <c r="E108" s="259">
        <f t="shared" si="18"/>
        <v>1587</v>
      </c>
      <c r="F108" s="183">
        <v>513</v>
      </c>
      <c r="G108" s="183">
        <f t="shared" si="19"/>
        <v>2100</v>
      </c>
      <c r="H108" s="181">
        <f t="shared" si="20"/>
        <v>1.9846683237891103E-3</v>
      </c>
      <c r="J108" s="136"/>
      <c r="K108" s="136"/>
      <c r="M108" s="237">
        <f t="shared" si="21"/>
        <v>0.37981551817688552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'[2]Sch C'!D107</f>
        <v>0</v>
      </c>
      <c r="D109" s="273">
        <f>'[2]Sch C'!F107</f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5240</v>
      </c>
      <c r="D110" s="273">
        <f>SUM(D104:D109)</f>
        <v>369</v>
      </c>
      <c r="E110" s="183">
        <f>SUM(E104:E109)</f>
        <v>5609</v>
      </c>
      <c r="F110" s="183">
        <f>SUM(F104:F109)</f>
        <v>2538</v>
      </c>
      <c r="G110" s="183">
        <f t="shared" si="19"/>
        <v>8147</v>
      </c>
      <c r="H110" s="181">
        <f t="shared" si="20"/>
        <v>7.6995680161475637E-3</v>
      </c>
      <c r="J110" s="136"/>
      <c r="K110" s="136"/>
      <c r="M110" s="237">
        <f t="shared" si="21"/>
        <v>1.4735033459938507</v>
      </c>
      <c r="N110" s="243">
        <f>SUMMARY!M110</f>
        <v>2.6822243142585545</v>
      </c>
      <c r="O110" s="238">
        <f>M110/N110-1</f>
        <v>-0.45064126883020583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'[2]Sch C'!D121</f>
        <v>0</v>
      </c>
      <c r="D113" s="273">
        <f>'[2]Sch C'!F121</f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'[2]Sch C'!D122</f>
        <v>0</v>
      </c>
      <c r="D114" s="273">
        <f>'[2]Sch C'!F122</f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'[2]Sch C'!D123</f>
        <v>1695</v>
      </c>
      <c r="D115" s="273">
        <f>'[2]Sch C'!F123</f>
        <v>0</v>
      </c>
      <c r="E115" s="259">
        <f t="shared" si="22"/>
        <v>1695</v>
      </c>
      <c r="F115" s="330">
        <v>2373</v>
      </c>
      <c r="G115" s="183">
        <f t="shared" si="23"/>
        <v>4068</v>
      </c>
      <c r="H115" s="181">
        <f t="shared" si="24"/>
        <v>3.8445860672257628E-3</v>
      </c>
      <c r="J115" s="136"/>
      <c r="K115" s="136"/>
      <c r="M115" s="237">
        <f t="shared" si="25"/>
        <v>0.73575691806836674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'[2]Sch C'!D124</f>
        <v>0</v>
      </c>
      <c r="D116" s="273">
        <f>'[2]Sch C'!F124</f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'[2]Sch C'!D125</f>
        <v>0</v>
      </c>
      <c r="D117" s="273">
        <f>'[2]Sch C'!F125</f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1695</v>
      </c>
      <c r="D118" s="273">
        <f>SUM(D113:D117)</f>
        <v>0</v>
      </c>
      <c r="E118" s="183">
        <f>SUM(E113:E117)</f>
        <v>1695</v>
      </c>
      <c r="F118" s="183">
        <f>SUM(F113:F117)</f>
        <v>2373</v>
      </c>
      <c r="G118" s="183">
        <f t="shared" si="23"/>
        <v>4068</v>
      </c>
      <c r="H118" s="181">
        <f t="shared" si="24"/>
        <v>3.8445860672257628E-3</v>
      </c>
      <c r="J118" s="136"/>
      <c r="K118" s="136"/>
      <c r="M118" s="237">
        <f t="shared" si="25"/>
        <v>0.73575691806836674</v>
      </c>
      <c r="N118" s="243">
        <f>SUMMARY!M118</f>
        <v>3.1676887539780583</v>
      </c>
      <c r="O118" s="238">
        <f>M118/N118-1</f>
        <v>-0.76773067835519326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'[2]Sch C'!D129</f>
        <v>17243</v>
      </c>
      <c r="D121" s="273">
        <f>'[2]Sch C'!F129</f>
        <v>0</v>
      </c>
      <c r="E121" s="259">
        <f t="shared" ref="E121:E131" si="26">SUM(C121:D121)</f>
        <v>17243</v>
      </c>
      <c r="F121" s="180">
        <v>25319</v>
      </c>
      <c r="G121" s="180">
        <f>IF(ISERROR(E121+F121),"",(E121+F121))</f>
        <v>42562</v>
      </c>
      <c r="H121" s="181">
        <f>IF(ISERROR(G121/$G$183),"",(G121/$G$183))</f>
        <v>4.0224501522434342E-2</v>
      </c>
      <c r="J121" s="261">
        <f>689.333333333333+1001</f>
        <v>1690.333333333333</v>
      </c>
      <c r="K121" s="261">
        <f>713.333333333333+1046</f>
        <v>1759.333333333333</v>
      </c>
      <c r="M121" s="237">
        <f t="shared" ref="M121:M131" si="27">IFERROR(G121/G$198,0)</f>
        <v>7.6979562307831433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'[2]Sch C'!D130</f>
        <v>0</v>
      </c>
      <c r="D122" s="273">
        <f>'[2]Sch C'!F130</f>
        <v>1741</v>
      </c>
      <c r="E122" s="259">
        <f t="shared" si="26"/>
        <v>1741</v>
      </c>
      <c r="F122" s="180">
        <v>2494</v>
      </c>
      <c r="G122" s="180">
        <f t="shared" ref="G122:G131" si="28">IF(ISERROR(E122+F122),"",(E122+F122))</f>
        <v>4235</v>
      </c>
      <c r="H122" s="181">
        <f t="shared" ref="H122:H131" si="29">IF(ISERROR(G122/$G$183),"",(G122/$G$183))</f>
        <v>4.0024144529747065E-3</v>
      </c>
      <c r="J122" s="136"/>
      <c r="K122" s="136"/>
      <c r="M122" s="237">
        <f t="shared" si="27"/>
        <v>0.7659612949900525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'[2]Sch C'!D131</f>
        <v>0</v>
      </c>
      <c r="D123" s="273">
        <f>'[2]Sch C'!F131</f>
        <v>0</v>
      </c>
      <c r="E123" s="259">
        <f t="shared" si="26"/>
        <v>0</v>
      </c>
      <c r="F123" s="180">
        <v>219</v>
      </c>
      <c r="G123" s="180">
        <f t="shared" si="28"/>
        <v>219</v>
      </c>
      <c r="H123" s="181">
        <f t="shared" si="29"/>
        <v>2.0697255376657866E-4</v>
      </c>
      <c r="J123" s="261">
        <v>22</v>
      </c>
      <c r="K123" s="261">
        <v>22</v>
      </c>
      <c r="M123" s="237">
        <f t="shared" si="27"/>
        <v>3.9609332609875203E-2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'[2]Sch C'!D132</f>
        <v>0</v>
      </c>
      <c r="D124" s="273">
        <f>'[2]Sch C'!F132</f>
        <v>0</v>
      </c>
      <c r="E124" s="259">
        <f t="shared" si="26"/>
        <v>0</v>
      </c>
      <c r="F124" s="180">
        <v>22</v>
      </c>
      <c r="G124" s="180">
        <f t="shared" si="28"/>
        <v>22</v>
      </c>
      <c r="H124" s="181">
        <f t="shared" si="29"/>
        <v>2.0791763392076395E-5</v>
      </c>
      <c r="J124" s="136"/>
      <c r="K124" s="136"/>
      <c r="M124" s="237">
        <f t="shared" si="27"/>
        <v>3.9790197142340385E-3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'[2]Sch C'!D133</f>
        <v>0</v>
      </c>
      <c r="D125" s="273">
        <f>'[2]Sch C'!F133</f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'[2]Sch C'!D134</f>
        <v>618</v>
      </c>
      <c r="D126" s="273">
        <f>'[2]Sch C'!F134</f>
        <v>0</v>
      </c>
      <c r="E126" s="259">
        <f t="shared" si="26"/>
        <v>618</v>
      </c>
      <c r="F126" s="180">
        <v>1281</v>
      </c>
      <c r="G126" s="180">
        <f t="shared" si="28"/>
        <v>1899</v>
      </c>
      <c r="H126" s="181">
        <f t="shared" si="29"/>
        <v>1.794707212797867E-3</v>
      </c>
      <c r="J126" s="136"/>
      <c r="K126" s="136"/>
      <c r="M126" s="237">
        <f t="shared" si="27"/>
        <v>0.34346174715138361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'[2]Sch C'!D135</f>
        <v>0</v>
      </c>
      <c r="D127" s="273">
        <f>'[2]Sch C'!F135</f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'[2]Sch C'!D136</f>
        <v>0</v>
      </c>
      <c r="D128" s="273">
        <f>'[2]Sch C'!F136</f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'[2]Sch C'!D137</f>
        <v>3254</v>
      </c>
      <c r="D129" s="273">
        <f>'[2]Sch C'!F137</f>
        <v>0</v>
      </c>
      <c r="E129" s="259">
        <f t="shared" si="26"/>
        <v>3254</v>
      </c>
      <c r="F129" s="333">
        <f>(7073-2373)</f>
        <v>4700</v>
      </c>
      <c r="G129" s="180">
        <f t="shared" si="28"/>
        <v>7954</v>
      </c>
      <c r="H129" s="181">
        <f t="shared" si="29"/>
        <v>7.5171675463898023E-3</v>
      </c>
      <c r="J129" s="136"/>
      <c r="K129" s="136"/>
      <c r="M129" s="237">
        <f t="shared" si="27"/>
        <v>1.4385964912280702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'[2]Sch C'!D138</f>
        <v>0</v>
      </c>
      <c r="D130" s="273">
        <f>'[2]Sch C'!F138</f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'[2]Sch C'!D139</f>
        <v>0</v>
      </c>
      <c r="D131" s="273">
        <f>'[2]Sch C'!F139</f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>
        <v>440.1</v>
      </c>
      <c r="B133" s="42" t="s">
        <v>235</v>
      </c>
      <c r="C133" s="273">
        <f>'[2]Sch C'!D141</f>
        <v>0</v>
      </c>
      <c r="D133" s="273">
        <f>'[2]Sch C'!F141</f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>
        <v>440.2</v>
      </c>
      <c r="B134" s="42" t="s">
        <v>236</v>
      </c>
      <c r="C134" s="273">
        <f>'[2]Sch C'!D142</f>
        <v>0</v>
      </c>
      <c r="D134" s="273">
        <f>'[2]Sch C'!F142</f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>
        <v>440.3</v>
      </c>
      <c r="B135" s="42" t="s">
        <v>237</v>
      </c>
      <c r="C135" s="273">
        <f>'[2]Sch C'!D143</f>
        <v>0</v>
      </c>
      <c r="D135" s="273">
        <f>'[2]Sch C'!F143</f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>
        <v>440.4</v>
      </c>
      <c r="B136" s="42" t="s">
        <v>238</v>
      </c>
      <c r="C136" s="273">
        <f>'[2]Sch C'!D144</f>
        <v>0</v>
      </c>
      <c r="D136" s="273">
        <f>'[2]Sch C'!F144</f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>
        <v>440.5</v>
      </c>
      <c r="B137" s="42" t="s">
        <v>239</v>
      </c>
      <c r="C137" s="273">
        <f>'[2]Sch C'!D145</f>
        <v>0</v>
      </c>
      <c r="D137" s="273">
        <f>'[2]Sch C'!F145</f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155</v>
      </c>
      <c r="C138" s="273">
        <f>'[2]Sch C'!D146</f>
        <v>0</v>
      </c>
      <c r="D138" s="273">
        <f>'[2]Sch C'!F146</f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21115</v>
      </c>
      <c r="D139" s="273">
        <f>SUM(D121:D138)</f>
        <v>1741</v>
      </c>
      <c r="E139" s="182">
        <f>SUM(E121:E138)</f>
        <v>22856</v>
      </c>
      <c r="F139" s="182">
        <f>SUM(F121:F138)</f>
        <v>34035</v>
      </c>
      <c r="G139" s="183">
        <f t="shared" si="33"/>
        <v>56891</v>
      </c>
      <c r="H139" s="181">
        <f t="shared" si="31"/>
        <v>5.3766555051755371E-2</v>
      </c>
      <c r="J139" s="136"/>
      <c r="K139" s="136"/>
      <c r="M139" s="237">
        <f t="shared" si="32"/>
        <v>10.289564116476759</v>
      </c>
      <c r="N139" s="243">
        <f>SUMMARY!M139</f>
        <v>37.231450929246826</v>
      </c>
      <c r="O139" s="238">
        <f>M139/N139-1</f>
        <v>-0.7236324704070588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'[2]Sch C'!D150</f>
        <v>0</v>
      </c>
      <c r="D142" s="273">
        <f>'[2]Sch C'!F150</f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'[2]Sch C'!D151</f>
        <v>0</v>
      </c>
      <c r="D143" s="273">
        <f>'[2]Sch C'!F151</f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'[2]Sch C'!D152</f>
        <v>0</v>
      </c>
      <c r="D144" s="273">
        <f>'[2]Sch C'!F152</f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'[2]Sch C'!D153</f>
        <v>0</v>
      </c>
      <c r="D145" s="273">
        <f>'[2]Sch C'!F153</f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'[2]Sch C'!D154</f>
        <v>598</v>
      </c>
      <c r="D146" s="273">
        <f>'[2]Sch C'!F154</f>
        <v>0</v>
      </c>
      <c r="E146" s="259">
        <f t="shared" si="34"/>
        <v>598</v>
      </c>
      <c r="F146" s="183">
        <v>1080</v>
      </c>
      <c r="G146" s="183">
        <f t="shared" si="35"/>
        <v>1678</v>
      </c>
      <c r="H146" s="181">
        <f t="shared" si="36"/>
        <v>1.5858444987229179E-3</v>
      </c>
      <c r="J146" s="136"/>
      <c r="K146" s="136"/>
      <c r="M146" s="237">
        <f t="shared" si="37"/>
        <v>0.30349068547657804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598</v>
      </c>
      <c r="D147" s="273">
        <f>SUM(D142:D146)</f>
        <v>0</v>
      </c>
      <c r="E147" s="183">
        <f>SUM(E142:E146)</f>
        <v>598</v>
      </c>
      <c r="F147" s="183">
        <f>SUM(F142:F146)</f>
        <v>1080</v>
      </c>
      <c r="G147" s="183">
        <f t="shared" si="35"/>
        <v>1678</v>
      </c>
      <c r="H147" s="204">
        <f t="shared" si="36"/>
        <v>1.5858444987229179E-3</v>
      </c>
      <c r="J147" s="136"/>
      <c r="K147" s="136"/>
      <c r="M147" s="237">
        <f t="shared" si="37"/>
        <v>0.30349068547657804</v>
      </c>
      <c r="N147" s="243">
        <f>SUMMARY!M147</f>
        <v>3.5319826687546212</v>
      </c>
      <c r="O147" s="238">
        <f>M147/N147-1</f>
        <v>-0.91407356322515909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'[2]Sch C'!D158</f>
        <v>106357</v>
      </c>
      <c r="D150" s="273">
        <f>'[2]Sch C'!F158</f>
        <v>0</v>
      </c>
      <c r="E150" s="259">
        <f t="shared" ref="E150:E163" si="38">SUM(C150:D150)</f>
        <v>106357</v>
      </c>
      <c r="F150" s="183">
        <v>204488</v>
      </c>
      <c r="G150" s="183">
        <f>IF(ISERROR(E150+F150),"",(E150+F150))</f>
        <v>310845</v>
      </c>
      <c r="H150" s="181">
        <f>IF(ISERROR(G150/$G$183),"",(G150/$G$183))</f>
        <v>0.29377344052772669</v>
      </c>
      <c r="J150" s="261">
        <f>7565.31666666667+14895</f>
        <v>22460.316666666669</v>
      </c>
      <c r="K150" s="261">
        <f>7972.51333333333+15493</f>
        <v>23465.513333333329</v>
      </c>
      <c r="M150" s="237">
        <f t="shared" ref="M150:M164" si="39">IFERROR(G150/G$198,0)</f>
        <v>56.220835594139992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'[2]Sch C'!D159</f>
        <v>0</v>
      </c>
      <c r="D151" s="273">
        <f>'[2]Sch C'!F159</f>
        <v>10741</v>
      </c>
      <c r="E151" s="259">
        <f t="shared" si="38"/>
        <v>10741</v>
      </c>
      <c r="F151" s="183">
        <v>19653</v>
      </c>
      <c r="G151" s="183">
        <f>IF(ISERROR(E151+F151),"",(E151+F151))</f>
        <v>30394</v>
      </c>
      <c r="H151" s="181">
        <f>IF(ISERROR(G151/$G$183),"",(G151/$G$183))</f>
        <v>2.8724766206307727E-2</v>
      </c>
      <c r="J151" s="136"/>
      <c r="K151" s="136"/>
      <c r="M151" s="237">
        <f t="shared" si="39"/>
        <v>5.4971965997467898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'[2]Sch C'!D160</f>
        <v>0</v>
      </c>
      <c r="D152" s="273">
        <f>'[2]Sch C'!F160</f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'[2]Sch C'!D161</f>
        <v>0</v>
      </c>
      <c r="D153" s="273">
        <f>'[2]Sch C'!F161</f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'[2]Sch C'!D162</f>
        <v>375</v>
      </c>
      <c r="D154" s="273">
        <f>'[2]Sch C'!F162</f>
        <v>0</v>
      </c>
      <c r="E154" s="259">
        <f t="shared" si="38"/>
        <v>375</v>
      </c>
      <c r="F154" s="183">
        <v>300</v>
      </c>
      <c r="G154" s="183">
        <f t="shared" si="40"/>
        <v>675</v>
      </c>
      <c r="H154" s="181">
        <f t="shared" si="41"/>
        <v>6.3792910407507123E-4</v>
      </c>
      <c r="J154" s="206"/>
      <c r="K154" s="206"/>
      <c r="M154" s="237">
        <f t="shared" si="39"/>
        <v>0.12208355941399891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'[2]Sch C'!D163</f>
        <v>300</v>
      </c>
      <c r="D155" s="273">
        <f>'[2]Sch C'!F163</f>
        <v>0</v>
      </c>
      <c r="E155" s="259">
        <f t="shared" si="38"/>
        <v>300</v>
      </c>
      <c r="F155" s="183">
        <v>450</v>
      </c>
      <c r="G155" s="183">
        <f t="shared" si="40"/>
        <v>750</v>
      </c>
      <c r="H155" s="181">
        <f t="shared" si="41"/>
        <v>7.0881011563896806E-4</v>
      </c>
      <c r="J155" s="206"/>
      <c r="K155" s="206"/>
      <c r="M155" s="237">
        <f t="shared" si="39"/>
        <v>0.13564839934888767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'[2]Sch C'!D164</f>
        <v>0</v>
      </c>
      <c r="D156" s="273">
        <f>'[2]Sch C'!F164</f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'[2]Sch C'!D165</f>
        <v>300</v>
      </c>
      <c r="D157" s="273">
        <f>'[2]Sch C'!F165</f>
        <v>0</v>
      </c>
      <c r="E157" s="259">
        <f t="shared" si="38"/>
        <v>300</v>
      </c>
      <c r="F157" s="183">
        <v>300</v>
      </c>
      <c r="G157" s="183">
        <f t="shared" si="40"/>
        <v>600</v>
      </c>
      <c r="H157" s="181">
        <f t="shared" si="41"/>
        <v>5.670480925111744E-4</v>
      </c>
      <c r="J157" s="206"/>
      <c r="K157" s="206"/>
      <c r="M157" s="237">
        <f t="shared" si="39"/>
        <v>0.10851871947911014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'[2]Sch C'!D166</f>
        <v>1558</v>
      </c>
      <c r="D158" s="273">
        <f>'[2]Sch C'!F166</f>
        <v>0</v>
      </c>
      <c r="E158" s="259">
        <f t="shared" si="38"/>
        <v>1558</v>
      </c>
      <c r="F158" s="183">
        <v>1163</v>
      </c>
      <c r="G158" s="183">
        <f t="shared" si="40"/>
        <v>2721</v>
      </c>
      <c r="H158" s="181">
        <f t="shared" si="41"/>
        <v>2.5715630995381761E-3</v>
      </c>
      <c r="J158" s="206"/>
      <c r="K158" s="206"/>
      <c r="M158" s="237">
        <f t="shared" si="39"/>
        <v>0.4921323928377645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'[2]Sch C'!D167</f>
        <v>0</v>
      </c>
      <c r="D159" s="273">
        <f>'[2]Sch C'!F167</f>
        <v>0</v>
      </c>
      <c r="E159" s="259">
        <f t="shared" si="38"/>
        <v>0</v>
      </c>
      <c r="F159" s="183">
        <v>0</v>
      </c>
      <c r="G159" s="183">
        <f t="shared" si="40"/>
        <v>0</v>
      </c>
      <c r="H159" s="181">
        <f t="shared" si="41"/>
        <v>0</v>
      </c>
      <c r="J159" s="206"/>
      <c r="K159" s="206"/>
      <c r="M159" s="237">
        <f t="shared" si="39"/>
        <v>0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'[2]Sch C'!D168</f>
        <v>57347</v>
      </c>
      <c r="D160" s="273">
        <f>'[2]Sch C'!F168</f>
        <v>0</v>
      </c>
      <c r="E160" s="259">
        <f t="shared" si="38"/>
        <v>57347</v>
      </c>
      <c r="F160" s="183">
        <v>84072</v>
      </c>
      <c r="G160" s="183">
        <f t="shared" si="40"/>
        <v>141419</v>
      </c>
      <c r="H160" s="181">
        <f t="shared" si="41"/>
        <v>0.13365229032472964</v>
      </c>
      <c r="J160" s="136"/>
      <c r="K160" s="136"/>
      <c r="M160" s="237">
        <f t="shared" si="39"/>
        <v>25.577681316693795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'[2]Sch C'!D169</f>
        <v>92</v>
      </c>
      <c r="D161" s="273">
        <f>'[2]Sch C'!F169</f>
        <v>0</v>
      </c>
      <c r="E161" s="259">
        <f t="shared" si="38"/>
        <v>92</v>
      </c>
      <c r="F161" s="183">
        <v>0</v>
      </c>
      <c r="G161" s="183">
        <f t="shared" si="40"/>
        <v>92</v>
      </c>
      <c r="H161" s="181">
        <f t="shared" si="41"/>
        <v>8.6947374185046751E-5</v>
      </c>
      <c r="J161" s="136"/>
      <c r="K161" s="136"/>
      <c r="M161" s="237">
        <f t="shared" si="39"/>
        <v>1.6639536986796891E-2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'[2]Sch C'!D170</f>
        <v>472</v>
      </c>
      <c r="D162" s="273">
        <f>'[2]Sch C'!F170</f>
        <v>0</v>
      </c>
      <c r="E162" s="259">
        <f t="shared" si="38"/>
        <v>472</v>
      </c>
      <c r="F162" s="183">
        <v>611</v>
      </c>
      <c r="G162" s="183">
        <f t="shared" si="40"/>
        <v>1083</v>
      </c>
      <c r="H162" s="181">
        <f t="shared" si="41"/>
        <v>1.0235218069826698E-3</v>
      </c>
      <c r="J162" s="136"/>
      <c r="K162" s="136"/>
      <c r="M162" s="237">
        <f t="shared" si="39"/>
        <v>0.19587628865979381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'[2]Sch C'!D171</f>
        <v>0</v>
      </c>
      <c r="D163" s="273">
        <f>'[2]Sch C'!F171</f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166801</v>
      </c>
      <c r="D164" s="273">
        <f>SUM(D150:D163)</f>
        <v>10741</v>
      </c>
      <c r="E164" s="183">
        <f>SUM(E150:E163)</f>
        <v>177542</v>
      </c>
      <c r="F164" s="183">
        <f>SUM(F150:F163)</f>
        <v>311037</v>
      </c>
      <c r="G164" s="183">
        <f>IF(ISERROR(E164+F164),"",(E164+F164))</f>
        <v>488579</v>
      </c>
      <c r="H164" s="181">
        <f>IF(ISERROR(G164/$G$183),"",(G164/$G$183))</f>
        <v>0.46174631665169513</v>
      </c>
      <c r="J164" s="136"/>
      <c r="K164" s="136"/>
      <c r="M164" s="237">
        <f t="shared" si="39"/>
        <v>88.366612407306931</v>
      </c>
      <c r="N164" s="243">
        <f>SUMMARY!M164</f>
        <v>48.166333206280392</v>
      </c>
      <c r="O164" s="238">
        <f>M164/N164-1</f>
        <v>0.83461365076021266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'[2]Sch C'!D186</f>
        <v>0</v>
      </c>
      <c r="D167" s="273">
        <f>'[2]Sch C'!F186</f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'[2]Sch C'!D187</f>
        <v>0</v>
      </c>
      <c r="D168" s="273">
        <f>'[2]Sch C'!F187</f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'[2]Sch C'!D188</f>
        <v>0</v>
      </c>
      <c r="D169" s="273">
        <f>'[2]Sch C'!F188</f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'[2]Sch C'!D189</f>
        <v>501</v>
      </c>
      <c r="D170" s="273">
        <f>'[2]Sch C'!F189</f>
        <v>0</v>
      </c>
      <c r="E170" s="259">
        <f t="shared" si="42"/>
        <v>501</v>
      </c>
      <c r="F170" s="183">
        <v>687</v>
      </c>
      <c r="G170" s="183">
        <f>IF(ISERROR(E170+F170),"",(E170+F170))</f>
        <v>1188</v>
      </c>
      <c r="H170" s="181">
        <f>IF(ISERROR(G170/$G$183),"",(G170/$G$183))</f>
        <v>1.1227552231721253E-3</v>
      </c>
      <c r="I170" s="215"/>
      <c r="J170" s="211"/>
      <c r="K170" s="42"/>
      <c r="M170" s="237">
        <f t="shared" si="43"/>
        <v>0.21486706456863808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'[2]Sch C'!D190</f>
        <v>0</v>
      </c>
      <c r="D171" s="273">
        <f>'[2]Sch C'!F190</f>
        <v>0</v>
      </c>
      <c r="E171" s="259">
        <f t="shared" si="42"/>
        <v>0</v>
      </c>
      <c r="F171" s="183">
        <v>30</v>
      </c>
      <c r="G171" s="183">
        <f>IF(ISERROR(E171+F171),"",(E171+F171))</f>
        <v>30</v>
      </c>
      <c r="H171" s="181">
        <f>IF(ISERROR(G171/$G$183),"",(G171/$G$183))</f>
        <v>2.8352404625558722E-5</v>
      </c>
      <c r="I171" s="215"/>
      <c r="J171" s="211"/>
      <c r="K171" s="42"/>
      <c r="M171" s="237">
        <f t="shared" si="43"/>
        <v>5.4259359739555072E-3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'[2]Sch C'!D191</f>
        <v>2320</v>
      </c>
      <c r="D172" s="273">
        <f>'[2]Sch C'!F191</f>
        <v>0</v>
      </c>
      <c r="E172" s="259">
        <f t="shared" si="42"/>
        <v>2320</v>
      </c>
      <c r="F172" s="183">
        <v>3240</v>
      </c>
      <c r="G172" s="183">
        <f t="shared" ref="G172:G181" si="44">IF(ISERROR(E172+F172),"",(E172+F172))</f>
        <v>5560</v>
      </c>
      <c r="H172" s="181">
        <f t="shared" ref="H172:H180" si="45">IF(ISERROR(G172/$G$183),"",(G172/$G$183))</f>
        <v>5.2546456572702162E-3</v>
      </c>
      <c r="I172" s="215"/>
      <c r="J172" s="211"/>
      <c r="K172" s="42"/>
      <c r="M172" s="237">
        <f t="shared" si="43"/>
        <v>1.0056068005064207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'[2]Sch C'!D192</f>
        <v>0</v>
      </c>
      <c r="D173" s="273">
        <f>'[2]Sch C'!F192</f>
        <v>0</v>
      </c>
      <c r="E173" s="259">
        <f t="shared" si="42"/>
        <v>0</v>
      </c>
      <c r="F173" s="183">
        <v>430</v>
      </c>
      <c r="G173" s="183">
        <f t="shared" si="44"/>
        <v>430</v>
      </c>
      <c r="H173" s="181">
        <f t="shared" si="45"/>
        <v>4.0638446629967501E-4</v>
      </c>
      <c r="I173" s="215"/>
      <c r="J173" s="211"/>
      <c r="K173" s="42"/>
      <c r="M173" s="237">
        <f t="shared" si="43"/>
        <v>7.7771748960028933E-2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'[2]Sch C'!D193</f>
        <v>0</v>
      </c>
      <c r="D174" s="273">
        <f>'[2]Sch C'!F193</f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'[2]Sch C'!D194</f>
        <v>0</v>
      </c>
      <c r="D175" s="273">
        <f>'[2]Sch C'!F194</f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'[2]Sch C'!D195</f>
        <v>0</v>
      </c>
      <c r="D176" s="273">
        <f>'[2]Sch C'!F195</f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'[2]Sch C'!D196</f>
        <v>0</v>
      </c>
      <c r="D177" s="273">
        <f>'[2]Sch C'!F196</f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'[2]Sch C'!D197</f>
        <v>0</v>
      </c>
      <c r="D178" s="273">
        <f>'[2]Sch C'!F197</f>
        <v>0</v>
      </c>
      <c r="E178" s="259">
        <f t="shared" si="42"/>
        <v>0</v>
      </c>
      <c r="F178" s="183">
        <v>187</v>
      </c>
      <c r="G178" s="183">
        <f t="shared" si="44"/>
        <v>187</v>
      </c>
      <c r="H178" s="181">
        <f t="shared" si="45"/>
        <v>1.7672998883264937E-4</v>
      </c>
      <c r="I178" s="215"/>
      <c r="J178" s="211"/>
      <c r="K178" s="42"/>
      <c r="M178" s="237">
        <f t="shared" si="43"/>
        <v>3.3821667570989332E-2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'[2]Sch C'!D198</f>
        <v>0</v>
      </c>
      <c r="D179" s="273">
        <f>'[2]Sch C'!F198</f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'[2]Sch C'!D199</f>
        <v>0</v>
      </c>
      <c r="D180" s="273">
        <f>'[2]Sch C'!F199</f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2821</v>
      </c>
      <c r="D181" s="273">
        <f>SUM(D167:D180)</f>
        <v>0</v>
      </c>
      <c r="E181" s="218">
        <f>SUM(E167:E180)</f>
        <v>2821</v>
      </c>
      <c r="F181" s="218">
        <f>SUM(F167:F180)</f>
        <v>4574</v>
      </c>
      <c r="G181" s="183">
        <f t="shared" si="44"/>
        <v>7395</v>
      </c>
      <c r="H181" s="181">
        <f>IF(ISERROR(G181/$G$183),"",(G181/$G$183))</f>
        <v>6.9888677402002251E-3</v>
      </c>
      <c r="I181" s="219"/>
      <c r="J181" s="211"/>
      <c r="K181" s="211"/>
      <c r="M181" s="237">
        <f t="shared" si="43"/>
        <v>1.3374932175800325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411890</v>
      </c>
      <c r="D183" s="273">
        <f>SUM(D21:D181)/2</f>
        <v>-862.68999999999687</v>
      </c>
      <c r="E183" s="258">
        <f>SUM(E21:E181)/2</f>
        <v>411027.31</v>
      </c>
      <c r="F183" s="179">
        <f>SUM(F21:F181)/2</f>
        <v>647084</v>
      </c>
      <c r="G183" s="179">
        <f>SUM(G21:G181)/2</f>
        <v>1058111.31</v>
      </c>
      <c r="H183" s="181">
        <f>IF(ISERROR(G183/$G$183),"",(G183/$G$183))</f>
        <v>1</v>
      </c>
      <c r="J183" s="261">
        <f>SUM(J21:J181)</f>
        <v>28360.460000000003</v>
      </c>
      <c r="K183" s="261">
        <f>SUM(K21:K181)</f>
        <v>29724.023333333331</v>
      </c>
      <c r="M183" s="237">
        <f>IFERROR(G183/G$198,0)</f>
        <v>191.37480737927294</v>
      </c>
      <c r="N183" s="243">
        <f>SUMMARY!M183</f>
        <v>169.52310231129192</v>
      </c>
      <c r="P183" s="178">
        <f>SUM(P57:P181)</f>
        <v>6.2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'[2]Sch C'!D204</f>
        <v>411890</v>
      </c>
      <c r="D186" s="28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5" t="s">
        <v>395</v>
      </c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285" t="s">
        <v>396</v>
      </c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-74584.510000000009</v>
      </c>
      <c r="D190" s="273">
        <f>D17-D183</f>
        <v>2256.279999999997</v>
      </c>
      <c r="E190" s="259">
        <f>E17-E183</f>
        <v>-72328.229999999981</v>
      </c>
      <c r="F190" s="180">
        <f>F17-F183</f>
        <v>7532</v>
      </c>
      <c r="G190" s="180">
        <f>G17-G183</f>
        <v>-64796.229999999981</v>
      </c>
      <c r="J190" s="136"/>
      <c r="K190" s="136"/>
      <c r="M190" s="237">
        <f>IFERROR(G190/G$198,0)</f>
        <v>-11.719339844456499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'[2]Sch D'!C9</f>
        <v>1895</v>
      </c>
      <c r="D194" s="313"/>
      <c r="E194" s="264">
        <f>C194+D194</f>
        <v>1895</v>
      </c>
      <c r="F194" s="224">
        <v>3634</v>
      </c>
      <c r="G194" s="225">
        <f>E194+F194</f>
        <v>5529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'[2]Sch D'!D9</f>
        <v>0</v>
      </c>
      <c r="D195" s="313"/>
      <c r="E195" s="227">
        <f>C195+D195</f>
        <v>0</v>
      </c>
      <c r="F195" s="226">
        <v>0</v>
      </c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'[2]Sch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'[2]Sch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1895</v>
      </c>
      <c r="D198" s="313"/>
      <c r="E198" s="265">
        <f>SUM(E194:E197)</f>
        <v>1895</v>
      </c>
      <c r="F198" s="229">
        <f>SUM(F194:F197)</f>
        <v>3634</v>
      </c>
      <c r="G198" s="229">
        <f>SUM(G194:G197)</f>
        <v>5529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'[2]Sch D'!G22</f>
        <v>16</v>
      </c>
      <c r="D201" s="312"/>
      <c r="E201" s="264">
        <f>C201+D201</f>
        <v>16</v>
      </c>
      <c r="F201" s="224"/>
      <c r="G201" s="231">
        <f t="shared" ref="G201:G202" si="46"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'[2]Sch D'!G24</f>
        <v>16</v>
      </c>
      <c r="D202" s="312"/>
      <c r="E202" s="264">
        <f>C202+D202</f>
        <v>16</v>
      </c>
      <c r="F202" s="226"/>
      <c r="G202" s="231">
        <f t="shared" si="46"/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'[2]Sch D'!G28</f>
        <v>1968</v>
      </c>
      <c r="D205" s="283"/>
      <c r="E205" s="260">
        <f>E201*E203</f>
        <v>1968</v>
      </c>
      <c r="F205" s="260">
        <f>G201*F203</f>
        <v>3888</v>
      </c>
      <c r="G205" s="224">
        <f>G201*G203</f>
        <v>5856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'[2]Sch D'!G30</f>
        <v>0.96290650406504064</v>
      </c>
      <c r="D206" s="36"/>
      <c r="E206" s="266">
        <f>IFERROR(E198/E205,"0")</f>
        <v>0.96290650406504064</v>
      </c>
      <c r="F206" s="337">
        <f>IFERROR(F198/F205,"")</f>
        <v>0.93467078189300412</v>
      </c>
      <c r="G206" s="233">
        <f>G198/G205</f>
        <v>0.94415983606557374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'[2]Sch D'!G32</f>
        <v>0.96290650406504064</v>
      </c>
      <c r="D207" s="36"/>
      <c r="E207" s="266">
        <f>IFERROR((E194+E195)/E205,"0")</f>
        <v>0.96290650406504064</v>
      </c>
      <c r="F207" s="337">
        <f>IFERROR(((F194+F195)/F205),"")</f>
        <v>0.93467078189300412</v>
      </c>
      <c r="G207" s="233">
        <f>(G194+G195)/G205</f>
        <v>0.94415983606557374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'[2]Sch D'!G34</f>
        <v>1</v>
      </c>
      <c r="D208" s="36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38" priority="2" stopIfTrue="1" operator="equal">
      <formula>0</formula>
    </cfRule>
  </conditionalFormatting>
  <conditionalFormatting sqref="C2">
    <cfRule type="cellIs" dxfId="37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P213"/>
  <sheetViews>
    <sheetView showGridLines="0" zoomScale="85" zoomScaleNormal="85" workbookViewId="0">
      <pane xSplit="2" ySplit="11" topLeftCell="C193" activePane="bottomRight" state="frozen"/>
      <selection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398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F4" s="322" t="s">
        <v>390</v>
      </c>
      <c r="G4" s="167"/>
    </row>
    <row r="5" spans="1:16">
      <c r="A5" s="24"/>
      <c r="B5" s="164"/>
      <c r="C5" s="168"/>
      <c r="D5" s="25"/>
      <c r="F5" s="323" t="s">
        <v>399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19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0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'[3]Sch B'!E10</f>
        <v>711588</v>
      </c>
      <c r="D12" s="273">
        <f>'[3]Sch B'!G10</f>
        <v>0</v>
      </c>
      <c r="E12" s="259">
        <f>SUM(C12:D12)</f>
        <v>711588</v>
      </c>
      <c r="F12" s="180">
        <v>1453966</v>
      </c>
      <c r="G12" s="180">
        <f>IF(ISERROR(E12+F12)," ",(E12+F12))</f>
        <v>2165554</v>
      </c>
      <c r="H12" s="181">
        <f t="shared" ref="H12:H17" si="0">IF(ISERROR(G12/$G$17),"",(G12/$G$17))</f>
        <v>0.99295844718101745</v>
      </c>
      <c r="J12" s="246" t="s">
        <v>346</v>
      </c>
      <c r="K12" s="247">
        <f>G17</f>
        <v>2180911</v>
      </c>
      <c r="M12" s="237">
        <f>IFERROR(G12/G$194,0)</f>
        <v>173.02285075103867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'[3]Sch B'!E15</f>
        <v>0</v>
      </c>
      <c r="D13" s="273">
        <f>'[3]Sch B'!G15</f>
        <v>0</v>
      </c>
      <c r="E13" s="259">
        <f t="shared" ref="E13:E16" si="1">SUM(C13:D13)</f>
        <v>0</v>
      </c>
      <c r="F13" s="183">
        <v>0</v>
      </c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2251450.3199999998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'[3]Sch B'!E20</f>
        <v>0</v>
      </c>
      <c r="D14" s="273">
        <f>'[3]Sch B'!G20</f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12516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'[3]Sch B'!E25</f>
        <v>0</v>
      </c>
      <c r="D15" s="273">
        <f>'[3]Sch B'!G25</f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35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'[3]Sch B'!E40</f>
        <v>0</v>
      </c>
      <c r="D16" s="273">
        <f>'[3]Sch B'!G40</f>
        <v>1957</v>
      </c>
      <c r="E16" s="259">
        <f t="shared" si="1"/>
        <v>1957</v>
      </c>
      <c r="F16" s="183">
        <v>13400</v>
      </c>
      <c r="G16" s="183">
        <f>IF(ISERROR(E16+F16),"",(E16+F16))</f>
        <v>15357</v>
      </c>
      <c r="H16" s="184">
        <f t="shared" si="0"/>
        <v>7.0415528189825263E-3</v>
      </c>
      <c r="J16" s="248" t="s">
        <v>350</v>
      </c>
      <c r="K16" s="249">
        <f>G205</f>
        <v>12810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711588</v>
      </c>
      <c r="D17" s="273">
        <f>SUM(D12:D16)</f>
        <v>1957</v>
      </c>
      <c r="E17" s="183">
        <f>SUM(E12:E16)</f>
        <v>713545</v>
      </c>
      <c r="F17" s="183">
        <f>SUM(F12:F16)</f>
        <v>1467366</v>
      </c>
      <c r="G17" s="183">
        <f>IF(ISERROR(E17+F17),"",(E17+F17))</f>
        <v>2180911</v>
      </c>
      <c r="H17" s="184">
        <f t="shared" si="0"/>
        <v>1</v>
      </c>
      <c r="J17" s="248"/>
      <c r="K17" s="249"/>
      <c r="M17" s="237">
        <f>IFERROR(G17/G$198,0)</f>
        <v>174.2498402045382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70406.249999999971</v>
      </c>
    </row>
    <row r="19" spans="1:14">
      <c r="A19" s="31" t="s">
        <v>336</v>
      </c>
      <c r="B19" s="187" t="s">
        <v>157</v>
      </c>
      <c r="C19" s="168"/>
      <c r="D19" s="25"/>
      <c r="F19" s="319" t="s">
        <v>393</v>
      </c>
      <c r="G19" s="25"/>
      <c r="J19" s="250" t="s">
        <v>309</v>
      </c>
      <c r="K19" s="251">
        <f>K183</f>
        <v>73956.0566666667</v>
      </c>
    </row>
    <row r="20" spans="1:14">
      <c r="A20" s="188" t="s">
        <v>197</v>
      </c>
      <c r="B20" s="164" t="s">
        <v>19</v>
      </c>
      <c r="F20" s="320" t="s">
        <v>394</v>
      </c>
    </row>
    <row r="21" spans="1:14" s="43" customFormat="1">
      <c r="A21" s="130" t="s">
        <v>198</v>
      </c>
      <c r="B21" s="116" t="s">
        <v>20</v>
      </c>
      <c r="C21" s="273">
        <f>'[3]Sch C'!D10</f>
        <v>26136</v>
      </c>
      <c r="D21" s="273">
        <f>'[3]Sch C'!F10</f>
        <v>0</v>
      </c>
      <c r="E21" s="259">
        <f t="shared" ref="E21:E56" si="2">SUM(C21:D21)</f>
        <v>26136</v>
      </c>
      <c r="F21" s="180">
        <v>48925</v>
      </c>
      <c r="G21" s="180">
        <f t="shared" ref="G21:G57" si="3">IF(ISERROR(E21+F21),"",(E21+F21))</f>
        <v>75061</v>
      </c>
      <c r="H21" s="181">
        <f>IF(ISERROR(G21/$G$183),"",(G21/$G$183))</f>
        <v>3.3338954598829434E-2</v>
      </c>
      <c r="J21" s="261">
        <f>668+1008</f>
        <v>1676</v>
      </c>
      <c r="K21" s="261">
        <f>733.333333333333+1240</f>
        <v>1973.333333333333</v>
      </c>
      <c r="M21" s="237">
        <f>IFERROR(G21/G$198,0)</f>
        <v>5.9972035794183443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'[3]Sch C'!D11</f>
        <v>0</v>
      </c>
      <c r="D22" s="273">
        <f>'[3]Sch C'!F11</f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'[3]Sch C'!D12</f>
        <v>10102</v>
      </c>
      <c r="D23" s="273">
        <f>'[3]Sch C'!F12</f>
        <v>0</v>
      </c>
      <c r="E23" s="259">
        <f t="shared" si="2"/>
        <v>10102</v>
      </c>
      <c r="F23" s="183">
        <v>30973</v>
      </c>
      <c r="G23" s="183">
        <f t="shared" si="3"/>
        <v>41075</v>
      </c>
      <c r="H23" s="181">
        <f t="shared" si="4"/>
        <v>1.8243795848002547E-2</v>
      </c>
      <c r="J23" s="189">
        <f>662.666666666667+1566</f>
        <v>2228.666666666667</v>
      </c>
      <c r="K23" s="189">
        <f>733.333333333333+1766</f>
        <v>2499.333333333333</v>
      </c>
      <c r="M23" s="237">
        <f t="shared" si="5"/>
        <v>3.2817992968999681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'[3]Sch C'!D13</f>
        <v>33251</v>
      </c>
      <c r="D24" s="273">
        <f>'[3]Sch C'!F13</f>
        <v>-29653</v>
      </c>
      <c r="E24" s="259">
        <f t="shared" si="2"/>
        <v>3598</v>
      </c>
      <c r="F24" s="183">
        <v>10074</v>
      </c>
      <c r="G24" s="183">
        <f t="shared" si="3"/>
        <v>13672</v>
      </c>
      <c r="H24" s="181">
        <f t="shared" si="4"/>
        <v>6.0725301724623443E-3</v>
      </c>
      <c r="J24" s="136"/>
      <c r="K24" s="136"/>
      <c r="M24" s="237">
        <f t="shared" si="5"/>
        <v>1.0923617769255354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'[3]Sch C'!D14</f>
        <v>0</v>
      </c>
      <c r="D25" s="273">
        <f>'[3]Sch C'!F14</f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'[3]Sch C'!D15</f>
        <v>42827</v>
      </c>
      <c r="D26" s="273">
        <f>'[3]Sch C'!F15</f>
        <v>0</v>
      </c>
      <c r="E26" s="259">
        <f t="shared" si="2"/>
        <v>42827</v>
      </c>
      <c r="F26" s="183">
        <v>87716</v>
      </c>
      <c r="G26" s="183">
        <f t="shared" si="3"/>
        <v>130543</v>
      </c>
      <c r="H26" s="181">
        <f t="shared" si="4"/>
        <v>5.798173685662316E-2</v>
      </c>
      <c r="J26" s="136"/>
      <c r="K26" s="136"/>
      <c r="M26" s="237">
        <f t="shared" si="5"/>
        <v>10.430089485458613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'[3]Sch C'!D16</f>
        <v>163359</v>
      </c>
      <c r="D27" s="273">
        <f>'[3]Sch C'!F16</f>
        <v>3372.63</v>
      </c>
      <c r="E27" s="259">
        <f t="shared" si="2"/>
        <v>166731.63</v>
      </c>
      <c r="F27" s="183">
        <v>89350</v>
      </c>
      <c r="G27" s="183">
        <f t="shared" si="3"/>
        <v>256081.63</v>
      </c>
      <c r="H27" s="181">
        <f t="shared" si="4"/>
        <v>0.11374074201202007</v>
      </c>
      <c r="J27" s="136"/>
      <c r="K27" s="136"/>
      <c r="M27" s="237">
        <f t="shared" si="5"/>
        <v>20.460341163310961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'[3]Sch C'!D17</f>
        <v>0</v>
      </c>
      <c r="D28" s="273">
        <f>'[3]Sch C'!F17</f>
        <v>0</v>
      </c>
      <c r="E28" s="259">
        <f t="shared" si="2"/>
        <v>0</v>
      </c>
      <c r="F28" s="183">
        <v>550</v>
      </c>
      <c r="G28" s="183">
        <f t="shared" si="3"/>
        <v>550</v>
      </c>
      <c r="H28" s="181">
        <f t="shared" si="4"/>
        <v>2.4428698031409376E-4</v>
      </c>
      <c r="J28" s="136"/>
      <c r="K28" s="136"/>
      <c r="M28" s="237">
        <f t="shared" si="5"/>
        <v>4.394375199744327E-2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'[3]Sch C'!D18</f>
        <v>2539</v>
      </c>
      <c r="D29" s="273">
        <f>'[3]Sch C'!F18</f>
        <v>0</v>
      </c>
      <c r="E29" s="259">
        <f t="shared" si="2"/>
        <v>2539</v>
      </c>
      <c r="F29" s="183">
        <v>4465</v>
      </c>
      <c r="G29" s="183">
        <f t="shared" si="3"/>
        <v>7004</v>
      </c>
      <c r="H29" s="181">
        <f t="shared" si="4"/>
        <v>3.1108836547634774E-3</v>
      </c>
      <c r="J29" s="136"/>
      <c r="K29" s="136"/>
      <c r="M29" s="237">
        <f t="shared" si="5"/>
        <v>0.55960370725471398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'[3]Sch C'!D19</f>
        <v>1170</v>
      </c>
      <c r="D30" s="273">
        <f>'[3]Sch C'!F19</f>
        <v>0</v>
      </c>
      <c r="E30" s="259">
        <f t="shared" si="2"/>
        <v>1170</v>
      </c>
      <c r="F30" s="183">
        <v>3816</v>
      </c>
      <c r="G30" s="183">
        <f t="shared" si="3"/>
        <v>4986</v>
      </c>
      <c r="H30" s="181">
        <f t="shared" si="4"/>
        <v>2.2145725160837662E-3</v>
      </c>
      <c r="J30" s="136"/>
      <c r="K30" s="136"/>
      <c r="M30" s="237">
        <f t="shared" si="5"/>
        <v>0.3983700862895494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'[3]Sch C'!D20</f>
        <v>2843</v>
      </c>
      <c r="D31" s="273">
        <f>'[3]Sch C'!F20</f>
        <v>-1396.47</v>
      </c>
      <c r="E31" s="259">
        <f t="shared" si="2"/>
        <v>1446.53</v>
      </c>
      <c r="F31" s="183">
        <v>409</v>
      </c>
      <c r="G31" s="183">
        <f t="shared" si="3"/>
        <v>1855.53</v>
      </c>
      <c r="H31" s="181">
        <f t="shared" si="4"/>
        <v>8.2414876469492785E-4</v>
      </c>
      <c r="J31" s="136"/>
      <c r="K31" s="136"/>
      <c r="M31" s="237">
        <f t="shared" si="5"/>
        <v>0.14825263662511984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'[3]Sch C'!D21</f>
        <v>0</v>
      </c>
      <c r="D32" s="273">
        <f>'[3]Sch C'!F21</f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'[3]Sch C'!D22</f>
        <v>0</v>
      </c>
      <c r="D33" s="273">
        <f>'[3]Sch C'!F22</f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'[3]Sch C'!D23</f>
        <v>2886</v>
      </c>
      <c r="D34" s="273">
        <f>'[3]Sch C'!F23</f>
        <v>0</v>
      </c>
      <c r="E34" s="259">
        <f t="shared" si="2"/>
        <v>2886</v>
      </c>
      <c r="F34" s="183">
        <v>3845</v>
      </c>
      <c r="G34" s="183">
        <f t="shared" si="3"/>
        <v>6731</v>
      </c>
      <c r="H34" s="181">
        <f t="shared" si="4"/>
        <v>2.9896284808984819E-3</v>
      </c>
      <c r="J34" s="136"/>
      <c r="K34" s="136"/>
      <c r="M34" s="237">
        <f t="shared" si="5"/>
        <v>0.53779162671780123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'[3]Sch C'!D24</f>
        <v>0</v>
      </c>
      <c r="D35" s="273">
        <f>'[3]Sch C'!F24</f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'[3]Sch C'!D25</f>
        <v>1342</v>
      </c>
      <c r="D36" s="273">
        <f>'[3]Sch C'!F25</f>
        <v>-323.99</v>
      </c>
      <c r="E36" s="259">
        <f t="shared" si="2"/>
        <v>1018.01</v>
      </c>
      <c r="F36" s="183">
        <v>0</v>
      </c>
      <c r="G36" s="183">
        <f t="shared" si="3"/>
        <v>1018.01</v>
      </c>
      <c r="H36" s="181">
        <f t="shared" si="4"/>
        <v>4.5215743423554646E-4</v>
      </c>
      <c r="J36" s="136"/>
      <c r="K36" s="136"/>
      <c r="M36" s="237">
        <f t="shared" si="5"/>
        <v>8.1336689038031318E-2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'[3]Sch C'!D26</f>
        <v>34804</v>
      </c>
      <c r="D37" s="273">
        <f>'[3]Sch C'!F26</f>
        <v>0</v>
      </c>
      <c r="E37" s="259">
        <f t="shared" si="2"/>
        <v>34804</v>
      </c>
      <c r="F37" s="183">
        <v>71081</v>
      </c>
      <c r="G37" s="183">
        <f t="shared" si="3"/>
        <v>105885</v>
      </c>
      <c r="H37" s="181">
        <f t="shared" si="4"/>
        <v>4.70296852919233E-2</v>
      </c>
      <c r="J37" s="136"/>
      <c r="K37" s="136"/>
      <c r="M37" s="237">
        <f t="shared" si="5"/>
        <v>8.4599712368168749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'[3]Sch C'!D27</f>
        <v>0</v>
      </c>
      <c r="D38" s="273">
        <f>'[3]Sch C'!F27</f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'[3]Sch C'!D28</f>
        <v>0</v>
      </c>
      <c r="D39" s="273">
        <f>'[3]Sch C'!F28</f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'[3]Sch C'!D29</f>
        <v>0</v>
      </c>
      <c r="D40" s="273">
        <f>'[3]Sch C'!F29</f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'[3]Sch C'!D30</f>
        <v>0</v>
      </c>
      <c r="D41" s="273">
        <f>'[3]Sch C'!F30</f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'[3]Sch C'!D31</f>
        <v>8511</v>
      </c>
      <c r="D42" s="273">
        <f>'[3]Sch C'!F31</f>
        <v>0</v>
      </c>
      <c r="E42" s="259">
        <f t="shared" si="2"/>
        <v>8511</v>
      </c>
      <c r="F42" s="183">
        <v>14695</v>
      </c>
      <c r="G42" s="183">
        <f t="shared" si="3"/>
        <v>23206</v>
      </c>
      <c r="H42" s="181">
        <f t="shared" si="4"/>
        <v>1.0307133936670654E-2</v>
      </c>
      <c r="J42" s="136"/>
      <c r="K42" s="136"/>
      <c r="M42" s="237">
        <f t="shared" si="5"/>
        <v>1.8541067433684884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'[3]Sch C'!D32</f>
        <v>0</v>
      </c>
      <c r="D43" s="273">
        <f>'[3]Sch C'!F32</f>
        <v>0</v>
      </c>
      <c r="E43" s="259">
        <f t="shared" si="2"/>
        <v>0</v>
      </c>
      <c r="F43" s="183">
        <v>3727</v>
      </c>
      <c r="G43" s="183">
        <f t="shared" si="3"/>
        <v>3727</v>
      </c>
      <c r="H43" s="181">
        <f t="shared" si="4"/>
        <v>1.6553774102375043E-3</v>
      </c>
      <c r="J43" s="136"/>
      <c r="K43" s="136"/>
      <c r="M43" s="237">
        <f t="shared" si="5"/>
        <v>0.2977788430808565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'[3]Sch C'!D33</f>
        <v>0</v>
      </c>
      <c r="D44" s="273">
        <f>'[3]Sch C'!F33</f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'[3]Sch C'!D34</f>
        <v>0</v>
      </c>
      <c r="D45" s="273">
        <f>'[3]Sch C'!F34</f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'[3]Sch C'!D35</f>
        <v>0</v>
      </c>
      <c r="D46" s="273">
        <f>'[3]Sch C'!F35</f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'[3]Sch C'!D36</f>
        <v>0</v>
      </c>
      <c r="D47" s="273">
        <f>'[3]Sch C'!F36</f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'[3]Sch C'!D37</f>
        <v>0</v>
      </c>
      <c r="D48" s="273">
        <f>'[3]Sch C'!F37</f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'[3]Sch C'!D38</f>
        <v>0</v>
      </c>
      <c r="D49" s="273">
        <f>'[3]Sch C'!F38</f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'[3]Sch C'!D39</f>
        <v>182</v>
      </c>
      <c r="D50" s="273">
        <f>'[3]Sch C'!F39</f>
        <v>0</v>
      </c>
      <c r="E50" s="259">
        <f t="shared" si="2"/>
        <v>182</v>
      </c>
      <c r="F50" s="183">
        <v>0</v>
      </c>
      <c r="G50" s="183">
        <f t="shared" si="3"/>
        <v>182</v>
      </c>
      <c r="H50" s="181">
        <f t="shared" si="4"/>
        <v>8.0836782576663746E-5</v>
      </c>
      <c r="J50" s="136"/>
      <c r="K50" s="136"/>
      <c r="M50" s="237">
        <f t="shared" si="5"/>
        <v>1.45413870246085E-2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'[3]Sch C'!D40</f>
        <v>0</v>
      </c>
      <c r="D51" s="273">
        <f>'[3]Sch C'!F40</f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'[3]Sch C'!D41</f>
        <v>1633</v>
      </c>
      <c r="D52" s="273">
        <f>'[3]Sch C'!F41</f>
        <v>0</v>
      </c>
      <c r="E52" s="259">
        <f t="shared" si="2"/>
        <v>1633</v>
      </c>
      <c r="F52" s="183">
        <v>4975</v>
      </c>
      <c r="G52" s="183">
        <f t="shared" si="3"/>
        <v>6608</v>
      </c>
      <c r="H52" s="181">
        <f t="shared" si="4"/>
        <v>2.9349970289373299E-3</v>
      </c>
      <c r="J52" s="136"/>
      <c r="K52" s="136"/>
      <c r="M52" s="237">
        <f t="shared" si="5"/>
        <v>0.52796420581655479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'[3]Sch C'!D42</f>
        <v>0</v>
      </c>
      <c r="D53" s="273">
        <f>'[3]Sch C'!F42</f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'[3]Sch C'!D43</f>
        <v>0</v>
      </c>
      <c r="D54" s="273">
        <f>'[3]Sch C'!F43</f>
        <v>0</v>
      </c>
      <c r="E54" s="259">
        <f t="shared" si="2"/>
        <v>0</v>
      </c>
      <c r="F54" s="183">
        <v>112</v>
      </c>
      <c r="G54" s="183">
        <f t="shared" si="3"/>
        <v>112</v>
      </c>
      <c r="H54" s="181">
        <f t="shared" si="4"/>
        <v>4.9745712354869996E-5</v>
      </c>
      <c r="J54" s="136"/>
      <c r="K54" s="136"/>
      <c r="M54" s="237">
        <f t="shared" si="5"/>
        <v>8.948545861297539E-3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'[3]Sch C'!D44</f>
        <v>0</v>
      </c>
      <c r="D55" s="273">
        <f>'[3]Sch C'!F44</f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'[3]Sch C'!D45</f>
        <v>0</v>
      </c>
      <c r="D56" s="273">
        <f>'[3]Sch C'!F45</f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331585</v>
      </c>
      <c r="D57" s="273">
        <f>SUM(D21:D56)</f>
        <v>-28000.83</v>
      </c>
      <c r="E57" s="183">
        <f>SUM(E21:E56)</f>
        <v>303584.17000000004</v>
      </c>
      <c r="F57" s="183">
        <f>SUM(F21:F56)</f>
        <v>374713</v>
      </c>
      <c r="G57" s="183">
        <f t="shared" si="3"/>
        <v>678297.17</v>
      </c>
      <c r="H57" s="181">
        <f t="shared" si="4"/>
        <v>0.30127121348162816</v>
      </c>
      <c r="J57" s="136"/>
      <c r="K57" s="136"/>
      <c r="M57" s="237">
        <f t="shared" si="5"/>
        <v>54.194404761904764</v>
      </c>
      <c r="N57" s="243">
        <f>SUMMARY!M57</f>
        <v>39.672950949912064</v>
      </c>
      <c r="O57" s="238">
        <f>M57/N57-1</f>
        <v>0.36602908188822014</v>
      </c>
      <c r="P57" s="178">
        <f>IF(O57&gt;=0.2,2.1,0)</f>
        <v>2.1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'[3]Sch C'!D57</f>
        <v>1102</v>
      </c>
      <c r="D60" s="273">
        <f>'[3]Sch C'!F57</f>
        <v>0</v>
      </c>
      <c r="E60" s="259">
        <f t="shared" ref="E60:E76" si="6">SUM(C60:D60)</f>
        <v>1102</v>
      </c>
      <c r="F60" s="179">
        <v>44110</v>
      </c>
      <c r="G60" s="179">
        <f>IF(ISERROR(E60+F60),"",(E60+F60))</f>
        <v>45212</v>
      </c>
      <c r="H60" s="181">
        <f>IF(ISERROR(G60/$G$183),"",(G60/$G$183))</f>
        <v>2.0081278098110555E-2</v>
      </c>
      <c r="J60" s="136"/>
      <c r="K60" s="136"/>
      <c r="M60" s="237">
        <f>IFERROR(G60/G$198,0)</f>
        <v>3.6123362096516458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'[3]Sch C'!D58</f>
        <v>7632</v>
      </c>
      <c r="D61" s="273">
        <f>'[3]Sch C'!F58</f>
        <v>0</v>
      </c>
      <c r="E61" s="259">
        <f t="shared" si="6"/>
        <v>7632</v>
      </c>
      <c r="F61" s="179">
        <v>0</v>
      </c>
      <c r="G61" s="179">
        <f t="shared" ref="G61:G76" si="7">IF(ISERROR(E61+F61),"",(E61+F61))</f>
        <v>7632</v>
      </c>
      <c r="H61" s="181">
        <f t="shared" ref="H61:H76" si="8">IF(ISERROR(G61/$G$183),"",(G61/$G$183))</f>
        <v>3.3898149704675697E-3</v>
      </c>
      <c r="J61" s="136"/>
      <c r="K61" s="136"/>
      <c r="M61" s="237">
        <f t="shared" ref="M61:M77" si="9">IFERROR(G61/G$198,0)</f>
        <v>0.60977948226270373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'[3]Sch C'!D59</f>
        <v>23415</v>
      </c>
      <c r="D62" s="273">
        <f>'[3]Sch C'!F59</f>
        <v>-1995.85</v>
      </c>
      <c r="E62" s="259">
        <f t="shared" si="6"/>
        <v>21419.15</v>
      </c>
      <c r="F62" s="179">
        <v>6</v>
      </c>
      <c r="G62" s="179">
        <f t="shared" si="7"/>
        <v>21425.15</v>
      </c>
      <c r="H62" s="181">
        <f t="shared" si="8"/>
        <v>9.51615490232092E-3</v>
      </c>
      <c r="J62" s="136"/>
      <c r="K62" s="136"/>
      <c r="M62" s="237">
        <f t="shared" si="9"/>
        <v>1.7118208692873123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'[3]Sch C'!D60</f>
        <v>0</v>
      </c>
      <c r="D63" s="273">
        <f>'[3]Sch C'!F60</f>
        <v>0</v>
      </c>
      <c r="E63" s="259">
        <f t="shared" si="6"/>
        <v>0</v>
      </c>
      <c r="F63" s="179">
        <v>0</v>
      </c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'[3]Sch C'!D61</f>
        <v>1807</v>
      </c>
      <c r="D64" s="273">
        <f>'[3]Sch C'!F61</f>
        <v>0</v>
      </c>
      <c r="E64" s="259">
        <f t="shared" si="6"/>
        <v>1807</v>
      </c>
      <c r="F64" s="179">
        <v>4296</v>
      </c>
      <c r="G64" s="179">
        <f t="shared" si="7"/>
        <v>6103</v>
      </c>
      <c r="H64" s="181">
        <f t="shared" si="8"/>
        <v>2.7106971651943892E-3</v>
      </c>
      <c r="J64" s="136"/>
      <c r="K64" s="136"/>
      <c r="M64" s="237">
        <f t="shared" si="9"/>
        <v>0.48761585170981142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'[3]Sch C'!D62</f>
        <v>0</v>
      </c>
      <c r="D65" s="273">
        <f>'[3]Sch C'!F62</f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'[3]Sch C'!D63</f>
        <v>0</v>
      </c>
      <c r="D66" s="273">
        <f>'[3]Sch C'!F63</f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'[3]Sch C'!D64</f>
        <v>2890</v>
      </c>
      <c r="D67" s="273">
        <f>'[3]Sch C'!F64</f>
        <v>0</v>
      </c>
      <c r="E67" s="259">
        <f t="shared" si="6"/>
        <v>2890</v>
      </c>
      <c r="F67" s="179">
        <v>0</v>
      </c>
      <c r="G67" s="179">
        <f t="shared" si="7"/>
        <v>2890</v>
      </c>
      <c r="H67" s="181">
        <f t="shared" si="8"/>
        <v>1.2836170420140562E-3</v>
      </c>
      <c r="J67" s="136"/>
      <c r="K67" s="136"/>
      <c r="M67" s="237">
        <f t="shared" si="9"/>
        <v>0.23090444231383828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'[3]Sch C'!D65</f>
        <v>698</v>
      </c>
      <c r="D68" s="273">
        <f>'[3]Sch C'!F65</f>
        <v>0</v>
      </c>
      <c r="E68" s="259">
        <f t="shared" si="6"/>
        <v>698</v>
      </c>
      <c r="F68" s="179">
        <v>0</v>
      </c>
      <c r="G68" s="179">
        <f t="shared" si="7"/>
        <v>698</v>
      </c>
      <c r="H68" s="181">
        <f t="shared" si="8"/>
        <v>3.1002238592588621E-4</v>
      </c>
      <c r="J68" s="136"/>
      <c r="K68" s="136"/>
      <c r="M68" s="237">
        <f t="shared" si="9"/>
        <v>5.5768616171300738E-2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'[3]Sch C'!D66</f>
        <v>0</v>
      </c>
      <c r="D69" s="273">
        <f>'[3]Sch C'!F66</f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'[3]Sch C'!D67</f>
        <v>2095</v>
      </c>
      <c r="D70" s="273">
        <f>'[3]Sch C'!F67</f>
        <v>0</v>
      </c>
      <c r="E70" s="259">
        <f t="shared" si="6"/>
        <v>2095</v>
      </c>
      <c r="F70" s="179">
        <v>2403</v>
      </c>
      <c r="G70" s="179">
        <f t="shared" si="7"/>
        <v>4498</v>
      </c>
      <c r="H70" s="181">
        <f t="shared" si="8"/>
        <v>1.9978233408232612E-3</v>
      </c>
      <c r="J70" s="136"/>
      <c r="K70" s="136"/>
      <c r="M70" s="237">
        <f t="shared" si="9"/>
        <v>0.35937999360818151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'[3]Sch C'!D68</f>
        <v>0</v>
      </c>
      <c r="D71" s="273">
        <f>'[3]Sch C'!F68</f>
        <v>0</v>
      </c>
      <c r="E71" s="259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'[3]Sch C'!D69</f>
        <v>336</v>
      </c>
      <c r="D72" s="273">
        <f>'[3]Sch C'!F69</f>
        <v>0</v>
      </c>
      <c r="E72" s="259">
        <f t="shared" si="6"/>
        <v>336</v>
      </c>
      <c r="F72" s="332">
        <v>175</v>
      </c>
      <c r="G72" s="179">
        <f t="shared" si="7"/>
        <v>511</v>
      </c>
      <c r="H72" s="181">
        <f t="shared" si="8"/>
        <v>2.2696481261909437E-4</v>
      </c>
      <c r="J72" s="136"/>
      <c r="K72" s="136"/>
      <c r="M72" s="237">
        <f t="shared" si="9"/>
        <v>4.0827740492170021E-2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'[3]Sch C'!D70</f>
        <v>0</v>
      </c>
      <c r="D73" s="273">
        <f>'[3]Sch C'!F70</f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'[3]Sch C'!D71</f>
        <v>0</v>
      </c>
      <c r="D74" s="273">
        <f>'[3]Sch C'!F71</f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'[3]Sch C'!D72</f>
        <v>0</v>
      </c>
      <c r="D75" s="273">
        <f>'[3]Sch C'!F72</f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'[3]Sch C'!D73</f>
        <v>0</v>
      </c>
      <c r="D76" s="273">
        <f>'[3]Sch C'!F73</f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39975</v>
      </c>
      <c r="D77" s="273">
        <f>SUM(D60:D76)</f>
        <v>-1995.85</v>
      </c>
      <c r="E77" s="182">
        <f>SUM(E60:E76)</f>
        <v>37979.15</v>
      </c>
      <c r="F77" s="182">
        <f>SUM(F60:F76)</f>
        <v>50990</v>
      </c>
      <c r="G77" s="183">
        <f>IF(ISERROR(E77+F77),"",(E77+F77))</f>
        <v>88969.15</v>
      </c>
      <c r="H77" s="181">
        <f>IF(ISERROR(G77/$G$183),"",(G77/$G$183))</f>
        <v>3.9516372717475733E-2</v>
      </c>
      <c r="J77" s="136"/>
      <c r="K77" s="136"/>
      <c r="M77" s="237">
        <f t="shared" si="9"/>
        <v>7.1084332054969632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'[3]Sch C'!D78</f>
        <v>10883</v>
      </c>
      <c r="D80" s="273">
        <f>'[3]Sch C'!F78</f>
        <v>0</v>
      </c>
      <c r="E80" s="259">
        <f t="shared" ref="E80:E91" si="10">SUM(C80:D80)</f>
        <v>10883</v>
      </c>
      <c r="F80" s="180">
        <v>23429</v>
      </c>
      <c r="G80" s="180">
        <f>IF(ISERROR(E80+F80),"",(E80+F80))</f>
        <v>34312</v>
      </c>
      <c r="H80" s="181">
        <f t="shared" ref="H80:H92" si="11">IF(ISERROR(G80/$G$183),"",(G80/$G$183))</f>
        <v>1.5239954306431243E-2</v>
      </c>
      <c r="J80" s="261">
        <f>688+1312</f>
        <v>2000</v>
      </c>
      <c r="K80" s="261">
        <f>753.71+1400</f>
        <v>2153.71</v>
      </c>
      <c r="M80" s="237">
        <f t="shared" ref="M80:M92" si="12">IFERROR(G80/G$198,0)</f>
        <v>2.7414509427932248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'[3]Sch C'!D79</f>
        <v>0</v>
      </c>
      <c r="D81" s="273">
        <f>'[3]Sch C'!F79</f>
        <v>1081</v>
      </c>
      <c r="E81" s="259">
        <f t="shared" si="10"/>
        <v>1081</v>
      </c>
      <c r="F81" s="183">
        <v>2426</v>
      </c>
      <c r="G81" s="183">
        <f>IF(ISERROR(E81+F81),"",(E81+F81))</f>
        <v>3507</v>
      </c>
      <c r="H81" s="181">
        <f t="shared" si="11"/>
        <v>1.5576626181118668E-3</v>
      </c>
      <c r="J81" s="136"/>
      <c r="K81" s="136"/>
      <c r="M81" s="237">
        <f t="shared" si="12"/>
        <v>0.28020134228187921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'[3]Sch C'!D80</f>
        <v>42</v>
      </c>
      <c r="D82" s="273">
        <f>'[3]Sch C'!F80</f>
        <v>0</v>
      </c>
      <c r="E82" s="259">
        <f t="shared" si="10"/>
        <v>42</v>
      </c>
      <c r="F82" s="183">
        <v>2970</v>
      </c>
      <c r="G82" s="183">
        <f>IF(ISERROR(E82+F82),"",(E82+F82))</f>
        <v>3012</v>
      </c>
      <c r="H82" s="181">
        <f t="shared" si="11"/>
        <v>1.3378043358291823E-3</v>
      </c>
      <c r="J82" s="136"/>
      <c r="K82" s="136"/>
      <c r="M82" s="237">
        <f t="shared" si="12"/>
        <v>0.24065196548418025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'[3]Sch C'!D81</f>
        <v>532</v>
      </c>
      <c r="D83" s="273">
        <f>'[3]Sch C'!F81</f>
        <v>0</v>
      </c>
      <c r="E83" s="259">
        <f t="shared" si="10"/>
        <v>532</v>
      </c>
      <c r="F83" s="183">
        <v>4363</v>
      </c>
      <c r="G83" s="183">
        <f>IF(ISERROR(E83+F83),"",(E83+F83))</f>
        <v>4895</v>
      </c>
      <c r="H83" s="181">
        <f t="shared" si="11"/>
        <v>2.1741541247954342E-3</v>
      </c>
      <c r="J83" s="136"/>
      <c r="K83" s="136"/>
      <c r="M83" s="237">
        <f t="shared" si="12"/>
        <v>0.39109939277724515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'[3]Sch C'!D82</f>
        <v>379</v>
      </c>
      <c r="D84" s="273">
        <f>'[3]Sch C'!F82</f>
        <v>0</v>
      </c>
      <c r="E84" s="259">
        <f t="shared" si="10"/>
        <v>379</v>
      </c>
      <c r="F84" s="183">
        <v>0</v>
      </c>
      <c r="G84" s="183">
        <f t="shared" ref="G84:G91" si="13">IF(ISERROR(E84+F84),"",(E84+F84))</f>
        <v>379</v>
      </c>
      <c r="H84" s="181">
        <f t="shared" si="11"/>
        <v>1.6833593734371185E-4</v>
      </c>
      <c r="J84" s="136"/>
      <c r="K84" s="136"/>
      <c r="M84" s="237">
        <f t="shared" si="12"/>
        <v>3.0281240012783636E-2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'[3]Sch C'!D83</f>
        <v>1052</v>
      </c>
      <c r="D85" s="273">
        <f>'[3]Sch C'!F83</f>
        <v>0</v>
      </c>
      <c r="E85" s="259">
        <f t="shared" si="10"/>
        <v>1052</v>
      </c>
      <c r="F85" s="183">
        <v>0</v>
      </c>
      <c r="G85" s="183">
        <f t="shared" si="13"/>
        <v>1052</v>
      </c>
      <c r="H85" s="181">
        <f t="shared" si="11"/>
        <v>4.6725436961895747E-4</v>
      </c>
      <c r="J85" s="136"/>
      <c r="K85" s="136"/>
      <c r="M85" s="237">
        <f t="shared" si="12"/>
        <v>8.405241291147332E-2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'[3]Sch C'!D84</f>
        <v>1425</v>
      </c>
      <c r="D86" s="273">
        <f>'[3]Sch C'!F84</f>
        <v>0</v>
      </c>
      <c r="E86" s="259">
        <f t="shared" si="10"/>
        <v>1425</v>
      </c>
      <c r="F86" s="330">
        <f>(21933-2066)</f>
        <v>19867</v>
      </c>
      <c r="G86" s="183">
        <f t="shared" si="13"/>
        <v>21292</v>
      </c>
      <c r="H86" s="181">
        <f t="shared" si="11"/>
        <v>9.4570152451776066E-3</v>
      </c>
      <c r="J86" s="136"/>
      <c r="K86" s="136"/>
      <c r="M86" s="237">
        <f t="shared" si="12"/>
        <v>1.7011824864173857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'[3]Sch C'!D85</f>
        <v>10248</v>
      </c>
      <c r="D87" s="273">
        <f>'[3]Sch C'!F85</f>
        <v>0</v>
      </c>
      <c r="E87" s="259">
        <f t="shared" si="10"/>
        <v>10248</v>
      </c>
      <c r="F87" s="330">
        <f>(4068-3500)</f>
        <v>568</v>
      </c>
      <c r="G87" s="183">
        <f t="shared" si="13"/>
        <v>10816</v>
      </c>
      <c r="H87" s="181">
        <f t="shared" si="11"/>
        <v>4.8040145074131598E-3</v>
      </c>
      <c r="J87" s="136"/>
      <c r="K87" s="136"/>
      <c r="M87" s="237">
        <f t="shared" si="12"/>
        <v>0.86417385746244801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'[3]Sch C'!D86</f>
        <v>0</v>
      </c>
      <c r="D88" s="273">
        <f>'[3]Sch C'!F86</f>
        <v>0</v>
      </c>
      <c r="E88" s="259">
        <f t="shared" si="10"/>
        <v>0</v>
      </c>
      <c r="F88" s="330">
        <f>(5211+819)</f>
        <v>6030</v>
      </c>
      <c r="G88" s="183">
        <f t="shared" si="13"/>
        <v>6030</v>
      </c>
      <c r="H88" s="181">
        <f t="shared" si="11"/>
        <v>2.6782736205345184E-3</v>
      </c>
      <c r="J88" s="136"/>
      <c r="K88" s="136"/>
      <c r="M88" s="237">
        <f t="shared" si="12"/>
        <v>0.48178331735378715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'[3]Sch C'!D87</f>
        <v>7780</v>
      </c>
      <c r="D89" s="273">
        <f>'[3]Sch C'!F87</f>
        <v>0</v>
      </c>
      <c r="E89" s="259">
        <f t="shared" si="10"/>
        <v>7780</v>
      </c>
      <c r="F89" s="330">
        <f>(16244+1742+972)</f>
        <v>18958</v>
      </c>
      <c r="G89" s="183">
        <f t="shared" si="13"/>
        <v>26738</v>
      </c>
      <c r="H89" s="181">
        <f t="shared" si="11"/>
        <v>1.187590050843316E-2</v>
      </c>
      <c r="J89" s="136"/>
      <c r="K89" s="136"/>
      <c r="M89" s="237">
        <f t="shared" si="12"/>
        <v>2.1363055289229784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'[3]Sch C'!D88</f>
        <v>0</v>
      </c>
      <c r="D90" s="273">
        <f>'[3]Sch C'!F88</f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'[3]Sch C'!D89</f>
        <v>11434</v>
      </c>
      <c r="D91" s="273">
        <f>'[3]Sch C'!F89</f>
        <v>0</v>
      </c>
      <c r="E91" s="259">
        <f t="shared" si="10"/>
        <v>11434</v>
      </c>
      <c r="F91" s="330">
        <f>(9257-5211-972-819-1742)</f>
        <v>513</v>
      </c>
      <c r="G91" s="183">
        <f t="shared" si="13"/>
        <v>11947</v>
      </c>
      <c r="H91" s="181">
        <f t="shared" si="11"/>
        <v>5.3063573705681415E-3</v>
      </c>
      <c r="J91" s="136"/>
      <c r="K91" s="136"/>
      <c r="M91" s="237">
        <f t="shared" si="12"/>
        <v>0.9545381911153723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43775</v>
      </c>
      <c r="D92" s="273">
        <f>SUM(D80:D91)</f>
        <v>1081</v>
      </c>
      <c r="E92" s="183">
        <f>SUM(E80:E91)</f>
        <v>44856</v>
      </c>
      <c r="F92" s="183">
        <f>SUM(F80:F91)</f>
        <v>79124</v>
      </c>
      <c r="G92" s="183">
        <f>IF(ISERROR(E92+F92),"",(E92+F92))</f>
        <v>123980</v>
      </c>
      <c r="H92" s="181">
        <f t="shared" si="11"/>
        <v>5.5066726944256982E-2</v>
      </c>
      <c r="J92" s="136"/>
      <c r="K92" s="136"/>
      <c r="M92" s="237">
        <f t="shared" si="12"/>
        <v>9.9057206775327575</v>
      </c>
      <c r="N92" s="243">
        <f>SUMMARY!M92</f>
        <v>10.36414021133649</v>
      </c>
      <c r="O92" s="238">
        <f>M92/N92-1</f>
        <v>-4.4231313399475725E-2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'[3]Sch C'!D93</f>
        <v>19641</v>
      </c>
      <c r="D95" s="273">
        <f>'[3]Sch C'!F93</f>
        <v>0</v>
      </c>
      <c r="E95" s="259">
        <f t="shared" ref="E95:E100" si="14">SUM(C95:D95)</f>
        <v>19641</v>
      </c>
      <c r="F95" s="180">
        <v>38340</v>
      </c>
      <c r="G95" s="180">
        <f t="shared" ref="G95:G101" si="15">IF(ISERROR(E95+F95),"",(E95+F95))</f>
        <v>57981</v>
      </c>
      <c r="H95" s="181">
        <f t="shared" ref="H95:H101" si="16">IF(ISERROR(G95/$G$183),"",(G95/$G$183))</f>
        <v>2.5752733464711762E-2</v>
      </c>
      <c r="J95" s="261">
        <f>1951.5+3214</f>
        <v>5165.5</v>
      </c>
      <c r="K95" s="261">
        <f>2043.83333333333+3310</f>
        <v>5353.8333333333303</v>
      </c>
      <c r="M95" s="237">
        <f t="shared" ref="M95:M101" si="17">IFERROR(G95/G$198,0)</f>
        <v>4.6325503355704694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'[3]Sch C'!D94</f>
        <v>0</v>
      </c>
      <c r="D96" s="273">
        <f>'[3]Sch C'!F94</f>
        <v>1950</v>
      </c>
      <c r="E96" s="259">
        <f t="shared" si="14"/>
        <v>1950</v>
      </c>
      <c r="F96" s="183">
        <v>4047</v>
      </c>
      <c r="G96" s="183">
        <f t="shared" si="15"/>
        <v>5997</v>
      </c>
      <c r="H96" s="181">
        <f t="shared" si="16"/>
        <v>2.663616401715673E-3</v>
      </c>
      <c r="J96" s="136"/>
      <c r="K96" s="136"/>
      <c r="M96" s="237">
        <f t="shared" si="17"/>
        <v>0.47914669223394057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'[3]Sch C'!D95</f>
        <v>1500</v>
      </c>
      <c r="D97" s="273">
        <f>'[3]Sch C'!F95</f>
        <v>0</v>
      </c>
      <c r="E97" s="259">
        <f t="shared" si="14"/>
        <v>1500</v>
      </c>
      <c r="F97" s="183">
        <v>2400</v>
      </c>
      <c r="G97" s="183">
        <f t="shared" si="15"/>
        <v>3900</v>
      </c>
      <c r="H97" s="181">
        <f t="shared" si="16"/>
        <v>1.7322167694999375E-3</v>
      </c>
      <c r="J97" s="136"/>
      <c r="K97" s="136"/>
      <c r="M97" s="237">
        <f t="shared" si="17"/>
        <v>0.31160115052732501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'[3]Sch C'!D96</f>
        <v>25997</v>
      </c>
      <c r="D98" s="273">
        <f>'[3]Sch C'!F96</f>
        <v>0</v>
      </c>
      <c r="E98" s="259">
        <f t="shared" si="14"/>
        <v>25997</v>
      </c>
      <c r="F98" s="183">
        <v>58073</v>
      </c>
      <c r="G98" s="183">
        <f t="shared" si="15"/>
        <v>84070</v>
      </c>
      <c r="H98" s="181">
        <f t="shared" si="16"/>
        <v>3.7340375336374292E-2</v>
      </c>
      <c r="J98" s="136"/>
      <c r="K98" s="136"/>
      <c r="M98" s="237">
        <f t="shared" si="17"/>
        <v>6.717002237136465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'[3]Sch C'!D97</f>
        <v>3812</v>
      </c>
      <c r="D99" s="273">
        <f>'[3]Sch C'!F97</f>
        <v>0</v>
      </c>
      <c r="E99" s="259">
        <f t="shared" si="14"/>
        <v>3812</v>
      </c>
      <c r="F99" s="183">
        <v>7292</v>
      </c>
      <c r="G99" s="183">
        <f t="shared" si="15"/>
        <v>11104</v>
      </c>
      <c r="H99" s="181">
        <f t="shared" si="16"/>
        <v>4.9319320534685395E-3</v>
      </c>
      <c r="J99" s="136"/>
      <c r="K99" s="136"/>
      <c r="M99" s="237">
        <f t="shared" si="17"/>
        <v>0.88718440396292741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'[3]Sch C'!D98</f>
        <v>0</v>
      </c>
      <c r="D100" s="273">
        <f>'[3]Sch C'!F98</f>
        <v>0</v>
      </c>
      <c r="E100" s="259">
        <f t="shared" si="14"/>
        <v>0</v>
      </c>
      <c r="F100" s="183">
        <v>0</v>
      </c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50950</v>
      </c>
      <c r="D101" s="273">
        <f>SUM(D95:D100)</f>
        <v>1950</v>
      </c>
      <c r="E101" s="183">
        <f>SUM(E95:E100)</f>
        <v>52900</v>
      </c>
      <c r="F101" s="183">
        <f>SUM(F95:F100)</f>
        <v>110152</v>
      </c>
      <c r="G101" s="183">
        <f t="shared" si="15"/>
        <v>163052</v>
      </c>
      <c r="H101" s="181">
        <f t="shared" si="16"/>
        <v>7.2420874025770202E-2</v>
      </c>
      <c r="J101" s="136"/>
      <c r="K101" s="136"/>
      <c r="M101" s="237">
        <f t="shared" si="17"/>
        <v>13.027484819431129</v>
      </c>
      <c r="N101" s="243">
        <f>SUMMARY!M101</f>
        <v>14.116295917008408</v>
      </c>
      <c r="O101" s="238">
        <f>M101/N101-1</f>
        <v>-7.7131501349826159E-2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'[3]Sch C'!D102</f>
        <v>9234</v>
      </c>
      <c r="D104" s="273">
        <f>'[3]Sch C'!F102</f>
        <v>0</v>
      </c>
      <c r="E104" s="259">
        <f t="shared" ref="E104:E109" si="18">SUM(C104:D104)</f>
        <v>9234</v>
      </c>
      <c r="F104" s="180">
        <v>26452</v>
      </c>
      <c r="G104" s="180">
        <f t="shared" ref="G104:G110" si="19">IF(ISERROR(E104+F104),"",(E104+F104))</f>
        <v>35686</v>
      </c>
      <c r="H104" s="181">
        <f t="shared" ref="H104:H110" si="20">IF(ISERROR(G104/$G$183),"",(G104/$G$183))</f>
        <v>1.5850227599070454E-2</v>
      </c>
      <c r="J104" s="261">
        <f>1028.83333333333+2480</f>
        <v>3508.8333333333303</v>
      </c>
      <c r="K104" s="261">
        <f>1094.16666666667+2556</f>
        <v>3650.1666666666697</v>
      </c>
      <c r="M104" s="237">
        <f t="shared" ref="M104:M110" si="21">IFERROR(G104/G$198,0)</f>
        <v>2.8512304250559284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'[3]Sch C'!D103</f>
        <v>0</v>
      </c>
      <c r="D105" s="273">
        <f>'[3]Sch C'!F103</f>
        <v>917</v>
      </c>
      <c r="E105" s="259">
        <f t="shared" si="18"/>
        <v>917</v>
      </c>
      <c r="F105" s="183">
        <v>2752</v>
      </c>
      <c r="G105" s="183">
        <f t="shared" si="19"/>
        <v>3669</v>
      </c>
      <c r="H105" s="181">
        <f t="shared" si="20"/>
        <v>1.6296162377680181E-3</v>
      </c>
      <c r="J105" s="136"/>
      <c r="K105" s="136"/>
      <c r="M105" s="237">
        <f t="shared" si="21"/>
        <v>0.29314477468839883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'[3]Sch C'!D104</f>
        <v>0</v>
      </c>
      <c r="D106" s="273">
        <f>'[3]Sch C'!F104</f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'[3]Sch C'!D105</f>
        <v>0</v>
      </c>
      <c r="D107" s="273">
        <f>'[3]Sch C'!F105</f>
        <v>0</v>
      </c>
      <c r="E107" s="259">
        <f t="shared" si="18"/>
        <v>0</v>
      </c>
      <c r="F107" s="183">
        <v>0</v>
      </c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'[3]Sch C'!D106</f>
        <v>936</v>
      </c>
      <c r="D108" s="273">
        <f>'[3]Sch C'!F106</f>
        <v>0</v>
      </c>
      <c r="E108" s="259">
        <f t="shared" si="18"/>
        <v>936</v>
      </c>
      <c r="F108" s="183">
        <v>2047</v>
      </c>
      <c r="G108" s="183">
        <f t="shared" si="19"/>
        <v>2983</v>
      </c>
      <c r="H108" s="181">
        <f t="shared" si="20"/>
        <v>1.3249237495944392E-3</v>
      </c>
      <c r="J108" s="136"/>
      <c r="K108" s="136"/>
      <c r="M108" s="237">
        <f t="shared" si="21"/>
        <v>0.23833493128795141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'[3]Sch C'!D107</f>
        <v>0</v>
      </c>
      <c r="D109" s="273">
        <f>'[3]Sch C'!F107</f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10170</v>
      </c>
      <c r="D110" s="273">
        <f>SUM(D104:D109)</f>
        <v>917</v>
      </c>
      <c r="E110" s="183">
        <f>SUM(E104:E109)</f>
        <v>11087</v>
      </c>
      <c r="F110" s="183">
        <f>SUM(F104:F109)</f>
        <v>31251</v>
      </c>
      <c r="G110" s="183">
        <f t="shared" si="19"/>
        <v>42338</v>
      </c>
      <c r="H110" s="181">
        <f t="shared" si="20"/>
        <v>1.8804767586432909E-2</v>
      </c>
      <c r="J110" s="136"/>
      <c r="K110" s="136"/>
      <c r="M110" s="237">
        <f t="shared" si="21"/>
        <v>3.3827101310322787</v>
      </c>
      <c r="N110" s="243">
        <f>SUMMARY!M110</f>
        <v>2.6822243142585545</v>
      </c>
      <c r="O110" s="238">
        <f>M110/N110-1</f>
        <v>0.26115855152381573</v>
      </c>
      <c r="P110" s="178">
        <f>IF(O110&gt;=0.2,0.2,0)</f>
        <v>0.2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'[3]Sch C'!D121</f>
        <v>0</v>
      </c>
      <c r="D113" s="273">
        <f>'[3]Sch C'!F121</f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'[3]Sch C'!D122</f>
        <v>0</v>
      </c>
      <c r="D114" s="273">
        <f>'[3]Sch C'!F122</f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'[3]Sch C'!D123</f>
        <v>3928</v>
      </c>
      <c r="D115" s="273">
        <f>'[3]Sch C'!F123</f>
        <v>0</v>
      </c>
      <c r="E115" s="259">
        <f t="shared" si="22"/>
        <v>3928</v>
      </c>
      <c r="F115" s="330">
        <v>6381</v>
      </c>
      <c r="G115" s="183">
        <f t="shared" si="23"/>
        <v>10309</v>
      </c>
      <c r="H115" s="181">
        <f t="shared" si="24"/>
        <v>4.5788263273781682E-3</v>
      </c>
      <c r="J115" s="136"/>
      <c r="K115" s="136"/>
      <c r="M115" s="237">
        <f t="shared" si="25"/>
        <v>0.82366570789389582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'[3]Sch C'!D124</f>
        <v>0</v>
      </c>
      <c r="D116" s="273">
        <f>'[3]Sch C'!F124</f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'[3]Sch C'!D125</f>
        <v>0</v>
      </c>
      <c r="D117" s="273">
        <f>'[3]Sch C'!F125</f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3928</v>
      </c>
      <c r="D118" s="273">
        <f>SUM(D113:D117)</f>
        <v>0</v>
      </c>
      <c r="E118" s="183">
        <f>SUM(E113:E117)</f>
        <v>3928</v>
      </c>
      <c r="F118" s="183">
        <f>SUM(F113:F117)</f>
        <v>6381</v>
      </c>
      <c r="G118" s="183">
        <f t="shared" si="23"/>
        <v>10309</v>
      </c>
      <c r="H118" s="181">
        <f t="shared" si="24"/>
        <v>4.5788263273781682E-3</v>
      </c>
      <c r="J118" s="136"/>
      <c r="K118" s="136"/>
      <c r="M118" s="237">
        <f t="shared" si="25"/>
        <v>0.82366570789389582</v>
      </c>
      <c r="N118" s="243">
        <f>SUMMARY!M118</f>
        <v>3.1676887539780583</v>
      </c>
      <c r="O118" s="238">
        <f>M118/N118-1</f>
        <v>-0.73997896514942729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'[3]Sch C'!D129</f>
        <v>34548</v>
      </c>
      <c r="D121" s="273">
        <f>'[3]Sch C'!F129</f>
        <v>0</v>
      </c>
      <c r="E121" s="259">
        <f t="shared" ref="E121:E131" si="26">SUM(C121:D121)</f>
        <v>34548</v>
      </c>
      <c r="F121" s="180">
        <v>47035</v>
      </c>
      <c r="G121" s="180">
        <f>IF(ISERROR(E121+F121),"",(E121+F121))</f>
        <v>81583</v>
      </c>
      <c r="H121" s="181">
        <f>IF(ISERROR(G121/$G$183),"",(G121/$G$183))</f>
        <v>3.6235754027208564E-2</v>
      </c>
      <c r="J121" s="261">
        <f>1244.16666666667+1738</f>
        <v>2982.1666666666697</v>
      </c>
      <c r="K121" s="261">
        <f>1335.23333333333+1802</f>
        <v>3137.2333333333299</v>
      </c>
      <c r="M121" s="237">
        <f t="shared" ref="M121:M131" si="27">IFERROR(G121/G$198,0)</f>
        <v>6.5182965803771173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'[3]Sch C'!D130</f>
        <v>0</v>
      </c>
      <c r="D122" s="273">
        <f>'[3]Sch C'!F130</f>
        <v>3430</v>
      </c>
      <c r="E122" s="259">
        <f t="shared" si="26"/>
        <v>3430</v>
      </c>
      <c r="F122" s="180">
        <v>4792</v>
      </c>
      <c r="G122" s="180">
        <f t="shared" ref="G122:G131" si="28">IF(ISERROR(E122+F122),"",(E122+F122))</f>
        <v>8222</v>
      </c>
      <c r="H122" s="181">
        <f t="shared" ref="H122:H131" si="29">IF(ISERROR(G122/$G$183),"",(G122/$G$183))</f>
        <v>3.6518682766226887E-3</v>
      </c>
      <c r="J122" s="136"/>
      <c r="K122" s="136"/>
      <c r="M122" s="237">
        <f t="shared" si="27"/>
        <v>0.65691914349632474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'[3]Sch C'!D131</f>
        <v>18640</v>
      </c>
      <c r="D123" s="273">
        <f>'[3]Sch C'!F131</f>
        <v>0</v>
      </c>
      <c r="E123" s="259">
        <f t="shared" si="26"/>
        <v>18640</v>
      </c>
      <c r="F123" s="180">
        <v>40328</v>
      </c>
      <c r="G123" s="180">
        <f t="shared" si="28"/>
        <v>58968</v>
      </c>
      <c r="H123" s="181">
        <f t="shared" si="29"/>
        <v>2.6191117554839053E-2</v>
      </c>
      <c r="J123" s="261">
        <f>1702.75+3562</f>
        <v>5264.75</v>
      </c>
      <c r="K123" s="261">
        <f>1762.11+3791</f>
        <v>5553.11</v>
      </c>
      <c r="M123" s="237">
        <f t="shared" si="27"/>
        <v>4.7114093959731544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'[3]Sch C'!D132</f>
        <v>0</v>
      </c>
      <c r="D124" s="273">
        <f>'[3]Sch C'!F132</f>
        <v>1851</v>
      </c>
      <c r="E124" s="259">
        <f t="shared" si="26"/>
        <v>1851</v>
      </c>
      <c r="F124" s="180">
        <v>4109</v>
      </c>
      <c r="G124" s="180">
        <f t="shared" si="28"/>
        <v>5960</v>
      </c>
      <c r="H124" s="181">
        <f t="shared" si="29"/>
        <v>2.6471825503127247E-3</v>
      </c>
      <c r="J124" s="136"/>
      <c r="K124" s="136"/>
      <c r="M124" s="237">
        <f t="shared" si="27"/>
        <v>0.47619047619047616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'[3]Sch C'!D133</f>
        <v>0</v>
      </c>
      <c r="D125" s="273">
        <f>'[3]Sch C'!F133</f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'[3]Sch C'!D134</f>
        <v>3302</v>
      </c>
      <c r="D126" s="273">
        <f>'[3]Sch C'!F134</f>
        <v>0</v>
      </c>
      <c r="E126" s="259">
        <f t="shared" si="26"/>
        <v>3302</v>
      </c>
      <c r="F126" s="180">
        <v>6313</v>
      </c>
      <c r="G126" s="180">
        <f t="shared" si="28"/>
        <v>9615</v>
      </c>
      <c r="H126" s="181">
        <f t="shared" si="29"/>
        <v>4.2705805740363839E-3</v>
      </c>
      <c r="J126" s="136"/>
      <c r="K126" s="136"/>
      <c r="M126" s="237">
        <f t="shared" si="27"/>
        <v>0.7682166826462129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'[3]Sch C'!D135</f>
        <v>0</v>
      </c>
      <c r="D127" s="273">
        <f>'[3]Sch C'!F135</f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'[3]Sch C'!D136</f>
        <v>0</v>
      </c>
      <c r="D128" s="273">
        <f>'[3]Sch C'!F136</f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'[3]Sch C'!D137</f>
        <v>4970</v>
      </c>
      <c r="D129" s="273">
        <f>'[3]Sch C'!F137</f>
        <v>0</v>
      </c>
      <c r="E129" s="259">
        <f t="shared" si="26"/>
        <v>4970</v>
      </c>
      <c r="F129" s="333">
        <f>(15510-6381)</f>
        <v>9129</v>
      </c>
      <c r="G129" s="180">
        <f t="shared" si="28"/>
        <v>14099</v>
      </c>
      <c r="H129" s="181">
        <f t="shared" si="29"/>
        <v>6.2621857008152869E-3</v>
      </c>
      <c r="J129" s="136"/>
      <c r="K129" s="136"/>
      <c r="M129" s="237">
        <f t="shared" si="27"/>
        <v>1.1264781080217321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'[3]Sch C'!D138</f>
        <v>0</v>
      </c>
      <c r="D130" s="273">
        <f>'[3]Sch C'!F138</f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'[3]Sch C'!D139</f>
        <v>0</v>
      </c>
      <c r="D131" s="273">
        <f>'[3]Sch C'!F139</f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'[3]Sch C'!D141</f>
        <v>0</v>
      </c>
      <c r="D133" s="273">
        <f>'[3]Sch C'!F141</f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'[3]Sch C'!D142</f>
        <v>0</v>
      </c>
      <c r="D134" s="273">
        <f>'[3]Sch C'!F142</f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'[3]Sch C'!D143</f>
        <v>0</v>
      </c>
      <c r="D135" s="273">
        <f>'[3]Sch C'!F143</f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'[3]Sch C'!D144</f>
        <v>0</v>
      </c>
      <c r="D136" s="273">
        <f>'[3]Sch C'!F144</f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'[3]Sch C'!D145</f>
        <v>0</v>
      </c>
      <c r="D137" s="273">
        <f>'[3]Sch C'!F145</f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'[3]Sch C'!D146</f>
        <v>0</v>
      </c>
      <c r="D138" s="273">
        <f>'[3]Sch C'!F146</f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61460</v>
      </c>
      <c r="D139" s="273">
        <f>SUM(D121:D138)</f>
        <v>5281</v>
      </c>
      <c r="E139" s="182">
        <f>SUM(E121:E138)</f>
        <v>66741</v>
      </c>
      <c r="F139" s="182">
        <f>SUM(F121:F138)</f>
        <v>111706</v>
      </c>
      <c r="G139" s="183">
        <f t="shared" si="33"/>
        <v>178447</v>
      </c>
      <c r="H139" s="181">
        <f t="shared" si="31"/>
        <v>7.9258688683834705E-2</v>
      </c>
      <c r="J139" s="136"/>
      <c r="K139" s="136"/>
      <c r="M139" s="237">
        <f t="shared" si="32"/>
        <v>14.257510386705018</v>
      </c>
      <c r="N139" s="243">
        <f>SUMMARY!M139</f>
        <v>37.231450929246826</v>
      </c>
      <c r="O139" s="238">
        <f>M139/N139-1</f>
        <v>-0.61705735256465222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'[3]Sch C'!D150</f>
        <v>0</v>
      </c>
      <c r="D142" s="273">
        <f>'[3]Sch C'!F150</f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'[3]Sch C'!D151</f>
        <v>0</v>
      </c>
      <c r="D143" s="273">
        <f>'[3]Sch C'!F151</f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'[3]Sch C'!D152</f>
        <v>0</v>
      </c>
      <c r="D144" s="273">
        <f>'[3]Sch C'!F152</f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'[3]Sch C'!D153</f>
        <v>0</v>
      </c>
      <c r="D145" s="273">
        <f>'[3]Sch C'!F153</f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'[3]Sch C'!D154</f>
        <v>3019</v>
      </c>
      <c r="D146" s="273">
        <f>'[3]Sch C'!F154</f>
        <v>0</v>
      </c>
      <c r="E146" s="259">
        <f t="shared" si="34"/>
        <v>3019</v>
      </c>
      <c r="F146" s="183">
        <v>3902</v>
      </c>
      <c r="G146" s="183">
        <f t="shared" si="35"/>
        <v>6921</v>
      </c>
      <c r="H146" s="181">
        <f t="shared" si="36"/>
        <v>3.0740185286433504E-3</v>
      </c>
      <c r="J146" s="136"/>
      <c r="K146" s="136"/>
      <c r="M146" s="237">
        <f t="shared" si="37"/>
        <v>0.55297219558964528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3019</v>
      </c>
      <c r="D147" s="273">
        <f>SUM(D142:D146)</f>
        <v>0</v>
      </c>
      <c r="E147" s="183">
        <f>SUM(E142:E146)</f>
        <v>3019</v>
      </c>
      <c r="F147" s="183">
        <f>SUM(F142:F146)</f>
        <v>3902</v>
      </c>
      <c r="G147" s="183">
        <f t="shared" si="35"/>
        <v>6921</v>
      </c>
      <c r="H147" s="204">
        <f t="shared" si="36"/>
        <v>3.0740185286433504E-3</v>
      </c>
      <c r="J147" s="136"/>
      <c r="K147" s="136"/>
      <c r="M147" s="237">
        <f t="shared" si="37"/>
        <v>0.55297219558964528</v>
      </c>
      <c r="N147" s="243">
        <f>SUMMARY!M147</f>
        <v>3.5319826687546212</v>
      </c>
      <c r="O147" s="238">
        <f>M147/N147-1</f>
        <v>-0.84343858748757006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'[3]Sch C'!D158</f>
        <v>205696</v>
      </c>
      <c r="D150" s="273">
        <f>'[3]Sch C'!F158</f>
        <v>0</v>
      </c>
      <c r="E150" s="259">
        <f t="shared" ref="E150:E163" si="38">SUM(C150:D150)</f>
        <v>205696</v>
      </c>
      <c r="F150" s="183">
        <v>424191</v>
      </c>
      <c r="G150" s="183">
        <f>IF(ISERROR(E150+F150),"",(E150+F150))</f>
        <v>629887</v>
      </c>
      <c r="H150" s="181">
        <f>IF(ISERROR(G150/$G$183),"",(G150/$G$183))</f>
        <v>0.27976944212564286</v>
      </c>
      <c r="J150" s="261">
        <f>14168.3333333333+33412</f>
        <v>47580.333333333299</v>
      </c>
      <c r="K150" s="261">
        <f>14843.3366666667+34792</f>
        <v>49635.336666666699</v>
      </c>
      <c r="M150" s="237">
        <f t="shared" ref="M150:M164" si="39">IFERROR(G150/G$198,0)</f>
        <v>50.326542026206454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'[3]Sch C'!D159</f>
        <v>0</v>
      </c>
      <c r="D151" s="273">
        <f>'[3]Sch C'!F159</f>
        <v>20424</v>
      </c>
      <c r="E151" s="259">
        <f t="shared" si="38"/>
        <v>20424</v>
      </c>
      <c r="F151" s="183">
        <v>42699</v>
      </c>
      <c r="G151" s="183">
        <f>IF(ISERROR(E151+F151),"",(E151+F151))</f>
        <v>63123</v>
      </c>
      <c r="H151" s="181">
        <f>IF(ISERROR(G151/$G$183),"",(G151/$G$183))</f>
        <v>2.8036594651575524E-2</v>
      </c>
      <c r="J151" s="136"/>
      <c r="K151" s="136"/>
      <c r="M151" s="237">
        <f t="shared" si="39"/>
        <v>5.0433844678811122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'[3]Sch C'!D160</f>
        <v>0</v>
      </c>
      <c r="D152" s="273">
        <f>'[3]Sch C'!F160</f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'[3]Sch C'!D161</f>
        <v>0</v>
      </c>
      <c r="D153" s="273">
        <f>'[3]Sch C'!F161</f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'[3]Sch C'!D162</f>
        <v>540</v>
      </c>
      <c r="D154" s="273">
        <f>'[3]Sch C'!F162</f>
        <v>0</v>
      </c>
      <c r="E154" s="259">
        <f t="shared" si="38"/>
        <v>540</v>
      </c>
      <c r="F154" s="183">
        <v>990</v>
      </c>
      <c r="G154" s="183">
        <f t="shared" si="40"/>
        <v>1530</v>
      </c>
      <c r="H154" s="181">
        <f t="shared" si="41"/>
        <v>6.7956196341920625E-4</v>
      </c>
      <c r="J154" s="206"/>
      <c r="K154" s="206"/>
      <c r="M154" s="237">
        <f t="shared" si="39"/>
        <v>0.12224352828379674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'[3]Sch C'!D163</f>
        <v>825</v>
      </c>
      <c r="D155" s="273">
        <f>'[3]Sch C'!F163</f>
        <v>0</v>
      </c>
      <c r="E155" s="259">
        <f t="shared" si="38"/>
        <v>825</v>
      </c>
      <c r="F155" s="183">
        <v>150</v>
      </c>
      <c r="G155" s="183">
        <f t="shared" si="40"/>
        <v>975</v>
      </c>
      <c r="H155" s="181">
        <f t="shared" si="41"/>
        <v>4.3305419237498437E-4</v>
      </c>
      <c r="J155" s="206"/>
      <c r="K155" s="206"/>
      <c r="M155" s="237">
        <f t="shared" si="39"/>
        <v>7.7900287631831253E-2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'[3]Sch C'!D164</f>
        <v>0</v>
      </c>
      <c r="D156" s="273">
        <f>'[3]Sch C'!F164</f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'[3]Sch C'!D165</f>
        <v>600</v>
      </c>
      <c r="D157" s="273">
        <f>'[3]Sch C'!F165</f>
        <v>0</v>
      </c>
      <c r="E157" s="259">
        <f t="shared" si="38"/>
        <v>600</v>
      </c>
      <c r="F157" s="183">
        <v>1050</v>
      </c>
      <c r="G157" s="183">
        <f t="shared" si="40"/>
        <v>1650</v>
      </c>
      <c r="H157" s="181">
        <f t="shared" si="41"/>
        <v>7.3286094094228123E-4</v>
      </c>
      <c r="J157" s="206"/>
      <c r="K157" s="206"/>
      <c r="M157" s="237">
        <f t="shared" si="39"/>
        <v>0.13183125599232981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'[3]Sch C'!D166</f>
        <v>1810</v>
      </c>
      <c r="D158" s="273">
        <f>'[3]Sch C'!F166</f>
        <v>0</v>
      </c>
      <c r="E158" s="259">
        <f t="shared" si="38"/>
        <v>1810</v>
      </c>
      <c r="F158" s="183">
        <v>2140</v>
      </c>
      <c r="G158" s="183">
        <f t="shared" si="40"/>
        <v>3950</v>
      </c>
      <c r="H158" s="181">
        <f t="shared" si="41"/>
        <v>1.7544246768012187E-3</v>
      </c>
      <c r="J158" s="206"/>
      <c r="K158" s="206"/>
      <c r="M158" s="237">
        <f t="shared" si="39"/>
        <v>0.31559603707254713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'[3]Sch C'!D167</f>
        <v>79427</v>
      </c>
      <c r="D159" s="273">
        <f>'[3]Sch C'!F167</f>
        <v>0</v>
      </c>
      <c r="E159" s="259">
        <f t="shared" si="38"/>
        <v>79427</v>
      </c>
      <c r="F159" s="183">
        <v>158320</v>
      </c>
      <c r="G159" s="183">
        <f t="shared" si="40"/>
        <v>237747</v>
      </c>
      <c r="H159" s="181">
        <f t="shared" si="41"/>
        <v>0.10559726674315426</v>
      </c>
      <c r="J159" s="206"/>
      <c r="K159" s="206"/>
      <c r="M159" s="237">
        <f t="shared" si="39"/>
        <v>18.995445829338447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'[3]Sch C'!D168</f>
        <v>0</v>
      </c>
      <c r="D160" s="273">
        <f>'[3]Sch C'!F168</f>
        <v>0</v>
      </c>
      <c r="E160" s="259">
        <f t="shared" si="38"/>
        <v>0</v>
      </c>
      <c r="F160" s="183">
        <v>0</v>
      </c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'[3]Sch C'!D169</f>
        <v>0</v>
      </c>
      <c r="D161" s="273">
        <f>'[3]Sch C'!F169</f>
        <v>0</v>
      </c>
      <c r="E161" s="259">
        <f t="shared" si="38"/>
        <v>0</v>
      </c>
      <c r="F161" s="183">
        <v>0</v>
      </c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'[3]Sch C'!D170</f>
        <v>2664</v>
      </c>
      <c r="D162" s="273">
        <f>'[3]Sch C'!F170</f>
        <v>0</v>
      </c>
      <c r="E162" s="259">
        <f t="shared" si="38"/>
        <v>2664</v>
      </c>
      <c r="F162" s="183">
        <v>3340</v>
      </c>
      <c r="G162" s="183">
        <f t="shared" si="40"/>
        <v>6004</v>
      </c>
      <c r="H162" s="181">
        <f t="shared" si="41"/>
        <v>2.6667255087378522E-3</v>
      </c>
      <c r="J162" s="136"/>
      <c r="K162" s="136"/>
      <c r="M162" s="237">
        <f t="shared" si="39"/>
        <v>0.47970597635027168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'[3]Sch C'!D171</f>
        <v>0</v>
      </c>
      <c r="D163" s="273">
        <f>'[3]Sch C'!F171</f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291562</v>
      </c>
      <c r="D164" s="273">
        <f>SUM(D150:D163)</f>
        <v>20424</v>
      </c>
      <c r="E164" s="183">
        <f>SUM(E150:E163)</f>
        <v>311986</v>
      </c>
      <c r="F164" s="183">
        <f>SUM(F150:F163)</f>
        <v>632880</v>
      </c>
      <c r="G164" s="183">
        <f>IF(ISERROR(E164+F164),"",(E164+F164))</f>
        <v>944866</v>
      </c>
      <c r="H164" s="181">
        <f>IF(ISERROR(G164/$G$183),"",(G164/$G$183))</f>
        <v>0.41966993080264814</v>
      </c>
      <c r="J164" s="136"/>
      <c r="K164" s="136"/>
      <c r="M164" s="237">
        <f t="shared" si="39"/>
        <v>75.49264940875679</v>
      </c>
      <c r="N164" s="243">
        <f>SUMMARY!M164</f>
        <v>48.166333206280392</v>
      </c>
      <c r="O164" s="238">
        <f>M164/N164-1</f>
        <v>0.56733229173677957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'[3]Sch C'!D186</f>
        <v>0</v>
      </c>
      <c r="D167" s="273">
        <f>'[3]Sch C'!F186</f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'[3]Sch C'!D187</f>
        <v>0</v>
      </c>
      <c r="D168" s="273">
        <f>'[3]Sch C'!F187</f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'[3]Sch C'!D188</f>
        <v>0</v>
      </c>
      <c r="D169" s="273">
        <f>'[3]Sch C'!F188</f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'[3]Sch C'!D189</f>
        <v>1250</v>
      </c>
      <c r="D170" s="273">
        <f>'[3]Sch C'!F189</f>
        <v>0</v>
      </c>
      <c r="E170" s="259">
        <f t="shared" si="42"/>
        <v>1250</v>
      </c>
      <c r="F170" s="183">
        <v>3200</v>
      </c>
      <c r="G170" s="183">
        <f>IF(ISERROR(E170+F170),"",(E170+F170))</f>
        <v>4450</v>
      </c>
      <c r="H170" s="181">
        <f>IF(ISERROR(G170/$G$183),"",(G170/$G$183))</f>
        <v>1.9765037498140313E-3</v>
      </c>
      <c r="I170" s="215"/>
      <c r="J170" s="211"/>
      <c r="K170" s="42"/>
      <c r="M170" s="237">
        <f t="shared" si="43"/>
        <v>0.35554490252476828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'[3]Sch C'!D190</f>
        <v>0</v>
      </c>
      <c r="D171" s="273">
        <f>'[3]Sch C'!F190</f>
        <v>0</v>
      </c>
      <c r="E171" s="259">
        <f t="shared" si="42"/>
        <v>0</v>
      </c>
      <c r="F171" s="183">
        <v>0</v>
      </c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'[3]Sch C'!D191</f>
        <v>3120</v>
      </c>
      <c r="D172" s="273">
        <f>'[3]Sch C'!F191</f>
        <v>0</v>
      </c>
      <c r="E172" s="259">
        <f t="shared" si="42"/>
        <v>3120</v>
      </c>
      <c r="F172" s="183">
        <v>4920</v>
      </c>
      <c r="G172" s="183">
        <f t="shared" ref="G172:G181" si="44">IF(ISERROR(E172+F172),"",(E172+F172))</f>
        <v>8040</v>
      </c>
      <c r="H172" s="181">
        <f t="shared" ref="H172:H180" si="45">IF(ISERROR(G172/$G$183),"",(G172/$G$183))</f>
        <v>3.5710314940460247E-3</v>
      </c>
      <c r="I172" s="215"/>
      <c r="J172" s="211"/>
      <c r="K172" s="42"/>
      <c r="M172" s="237">
        <f t="shared" si="43"/>
        <v>0.64237775647171624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'[3]Sch C'!D192</f>
        <v>816</v>
      </c>
      <c r="D173" s="273">
        <f>'[3]Sch C'!F192</f>
        <v>0</v>
      </c>
      <c r="E173" s="259">
        <f t="shared" si="42"/>
        <v>816</v>
      </c>
      <c r="F173" s="183">
        <v>850</v>
      </c>
      <c r="G173" s="183">
        <f t="shared" si="44"/>
        <v>1666</v>
      </c>
      <c r="H173" s="181">
        <f t="shared" si="45"/>
        <v>7.3996747127869121E-4</v>
      </c>
      <c r="I173" s="215"/>
      <c r="J173" s="211"/>
      <c r="K173" s="42"/>
      <c r="M173" s="237">
        <f t="shared" si="43"/>
        <v>0.13310961968680091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'[3]Sch C'!D193</f>
        <v>0</v>
      </c>
      <c r="D174" s="273">
        <f>'[3]Sch C'!F193</f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'[3]Sch C'!D194</f>
        <v>0</v>
      </c>
      <c r="D175" s="273">
        <f>'[3]Sch C'!F194</f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'[3]Sch C'!D195</f>
        <v>0</v>
      </c>
      <c r="D176" s="273">
        <f>'[3]Sch C'!F195</f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'[3]Sch C'!D196</f>
        <v>0</v>
      </c>
      <c r="D177" s="273">
        <f>'[3]Sch C'!F196</f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'[3]Sch C'!D197</f>
        <v>0</v>
      </c>
      <c r="D178" s="273">
        <f>'[3]Sch C'!F197</f>
        <v>0</v>
      </c>
      <c r="E178" s="259">
        <f t="shared" si="42"/>
        <v>0</v>
      </c>
      <c r="F178" s="183">
        <v>115</v>
      </c>
      <c r="G178" s="183">
        <f t="shared" si="44"/>
        <v>115</v>
      </c>
      <c r="H178" s="181">
        <f t="shared" si="45"/>
        <v>5.1078186792946875E-5</v>
      </c>
      <c r="I178" s="215"/>
      <c r="J178" s="211"/>
      <c r="K178" s="42"/>
      <c r="M178" s="237">
        <f t="shared" si="43"/>
        <v>9.188239054010866E-3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'[3]Sch C'!D198</f>
        <v>0</v>
      </c>
      <c r="D179" s="273">
        <f>'[3]Sch C'!F198</f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'[3]Sch C'!D199</f>
        <v>0</v>
      </c>
      <c r="D180" s="273">
        <f>'[3]Sch C'!F199</f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5186</v>
      </c>
      <c r="D181" s="273">
        <f>SUM(D167:D180)</f>
        <v>0</v>
      </c>
      <c r="E181" s="218">
        <f>SUM(E167:E180)</f>
        <v>5186</v>
      </c>
      <c r="F181" s="218">
        <f>SUM(F167:F180)</f>
        <v>9085</v>
      </c>
      <c r="G181" s="183">
        <f t="shared" si="44"/>
        <v>14271</v>
      </c>
      <c r="H181" s="181">
        <f>IF(ISERROR(G181/$G$183),"",(G181/$G$183))</f>
        <v>6.3385809019316942E-3</v>
      </c>
      <c r="I181" s="219"/>
      <c r="J181" s="211"/>
      <c r="K181" s="211"/>
      <c r="M181" s="237">
        <f t="shared" si="43"/>
        <v>1.1402205177372962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841610</v>
      </c>
      <c r="D183" s="273">
        <f>SUM(D21:D181)/2</f>
        <v>-343.68000000000029</v>
      </c>
      <c r="E183" s="258">
        <f>SUM(E21:E181)/2</f>
        <v>841266.32000000007</v>
      </c>
      <c r="F183" s="179">
        <f>SUM(F21:F181)/2</f>
        <v>1410184</v>
      </c>
      <c r="G183" s="179">
        <f>SUM(G21:G181)/2</f>
        <v>2251450.3199999998</v>
      </c>
      <c r="H183" s="181">
        <f>IF(ISERROR(G183/$G$183),"",(G183/$G$183))</f>
        <v>1</v>
      </c>
      <c r="J183" s="261">
        <f>SUM(J21:J181)</f>
        <v>70406.249999999971</v>
      </c>
      <c r="K183" s="261">
        <f>SUM(K21:K181)</f>
        <v>73956.0566666667</v>
      </c>
      <c r="M183" s="237">
        <f>IFERROR(G183/G$198,0)</f>
        <v>179.88577181208052</v>
      </c>
      <c r="N183" s="243">
        <f>SUMMARY!M183</f>
        <v>169.52310231129192</v>
      </c>
      <c r="P183" s="178">
        <f>SUM(P57:P181)</f>
        <v>5.8000000000000007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'[3]Sch C'!D204</f>
        <v>841610</v>
      </c>
      <c r="D186" s="28"/>
      <c r="E186" s="322" t="s">
        <v>390</v>
      </c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323" t="s">
        <v>399</v>
      </c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285" t="s">
        <v>391</v>
      </c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-130022</v>
      </c>
      <c r="D190" s="273">
        <f>D17-D183</f>
        <v>2300.6800000000003</v>
      </c>
      <c r="E190" s="259">
        <f>E17-E183</f>
        <v>-127721.32000000007</v>
      </c>
      <c r="F190" s="180">
        <f>F17-F183</f>
        <v>57182</v>
      </c>
      <c r="G190" s="180">
        <f>G17-G183</f>
        <v>-70539.319999999832</v>
      </c>
      <c r="J190" s="136"/>
      <c r="K190" s="136"/>
      <c r="M190" s="237">
        <f>IFERROR(G190/G$198,0)</f>
        <v>-5.6359316075423322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'[3]Sch D'!C9</f>
        <v>4114</v>
      </c>
      <c r="D194" s="313"/>
      <c r="E194" s="264">
        <f>C194+D194</f>
        <v>4114</v>
      </c>
      <c r="F194" s="224">
        <v>8402</v>
      </c>
      <c r="G194" s="225">
        <f>E194+F194</f>
        <v>12516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'[3]Sch D'!D9</f>
        <v>0</v>
      </c>
      <c r="D195" s="313"/>
      <c r="E195" s="227">
        <f>C195+D195</f>
        <v>0</v>
      </c>
      <c r="F195" s="226">
        <v>0</v>
      </c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'[3]Sch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'[3]Sch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4114</v>
      </c>
      <c r="D198" s="313"/>
      <c r="E198" s="265">
        <f>SUM(E194:E197)</f>
        <v>4114</v>
      </c>
      <c r="F198" s="229">
        <f>SUM(F194:F197)</f>
        <v>8402</v>
      </c>
      <c r="G198" s="229">
        <f>SUM(G194:G197)</f>
        <v>12516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'[3]Sch D'!G22</f>
        <v>35</v>
      </c>
      <c r="D201" s="312"/>
      <c r="E201" s="264">
        <f>C201+D201</f>
        <v>35</v>
      </c>
      <c r="F201" s="224"/>
      <c r="G201" s="231">
        <f t="shared" ref="G201:G202" si="46">E201+F201</f>
        <v>35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'[3]Sch D'!G24</f>
        <v>35</v>
      </c>
      <c r="D202" s="312"/>
      <c r="E202" s="264">
        <f>C202+D202</f>
        <v>35</v>
      </c>
      <c r="F202" s="226"/>
      <c r="G202" s="231">
        <f t="shared" si="46"/>
        <v>35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'[3]Sch D'!G28</f>
        <v>4305</v>
      </c>
      <c r="D205" s="283"/>
      <c r="E205" s="260">
        <f>E201*E203</f>
        <v>4305</v>
      </c>
      <c r="F205" s="260">
        <f>G201*F203</f>
        <v>8505</v>
      </c>
      <c r="G205" s="224">
        <f>G201*G203</f>
        <v>12810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'[3]Sch D'!G30</f>
        <v>0.95563298490127757</v>
      </c>
      <c r="D206" s="36"/>
      <c r="E206" s="266">
        <f>IFERROR(E198/E205,"0")</f>
        <v>0.95563298490127757</v>
      </c>
      <c r="F206" s="337">
        <f>IFERROR(F198/F205,"")</f>
        <v>0.98788947677836569</v>
      </c>
      <c r="G206" s="233">
        <f>G198/G205</f>
        <v>0.9770491803278688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'[3]Sch D'!G32</f>
        <v>0.95563298490127757</v>
      </c>
      <c r="D207" s="36"/>
      <c r="E207" s="266">
        <f>IFERROR((E194+E195)/E205,"0")</f>
        <v>0.95563298490127757</v>
      </c>
      <c r="F207" s="337">
        <f>IFERROR(((F194+F195)/F205),"")</f>
        <v>0.98788947677836569</v>
      </c>
      <c r="G207" s="233">
        <f>(G194+G195)/G205</f>
        <v>0.9770491803278688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'[3]Sch D'!G34</f>
        <v>1</v>
      </c>
      <c r="D208" s="36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36" priority="2" stopIfTrue="1" operator="equal">
      <formula>0</formula>
    </cfRule>
  </conditionalFormatting>
  <conditionalFormatting sqref="C2">
    <cfRule type="cellIs" dxfId="35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P213"/>
  <sheetViews>
    <sheetView showGridLines="0" topLeftCell="A183" zoomScale="80" zoomScaleNormal="8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57" t="s">
        <v>369</v>
      </c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31" t="s">
        <v>409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8" t="s">
        <v>408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'[4]Sch B'!E10</f>
        <v>3633579</v>
      </c>
      <c r="D12" s="273">
        <f>'[4]Sch B'!G10</f>
        <v>0</v>
      </c>
      <c r="E12" s="259">
        <f>SUM(C12:D12)</f>
        <v>3633579</v>
      </c>
      <c r="F12" s="180"/>
      <c r="G12" s="180">
        <f>IF(ISERROR(E12+F12)," ",(E12+F12))</f>
        <v>3633579</v>
      </c>
      <c r="H12" s="181">
        <f t="shared" ref="H12:H17" si="0">IF(ISERROR(G12/$G$17),"",(G12/$G$17))</f>
        <v>0.99990781289815889</v>
      </c>
      <c r="J12" s="246" t="s">
        <v>346</v>
      </c>
      <c r="K12" s="247">
        <f>G17</f>
        <v>3633914</v>
      </c>
      <c r="M12" s="237">
        <f>IFERROR(G12/G$194,0)</f>
        <v>174.57379648313636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'[4]Sch B'!E15</f>
        <v>0</v>
      </c>
      <c r="D13" s="273">
        <f>'[4]Sch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2993484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'[4]Sch B'!E20</f>
        <v>0</v>
      </c>
      <c r="D14" s="273">
        <f>'[4]Sch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20814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367</v>
      </c>
      <c r="B15" s="185" t="s">
        <v>194</v>
      </c>
      <c r="C15" s="273">
        <f>'[4]Sch B'!E25</f>
        <v>0</v>
      </c>
      <c r="D15" s="273">
        <f>'[4]Sch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60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368</v>
      </c>
      <c r="B16" s="118" t="s">
        <v>195</v>
      </c>
      <c r="C16" s="273">
        <f>'[4]Sch B'!E40</f>
        <v>335</v>
      </c>
      <c r="D16" s="273">
        <f>'[4]Sch B'!G40</f>
        <v>0</v>
      </c>
      <c r="E16" s="259">
        <f t="shared" si="1"/>
        <v>335</v>
      </c>
      <c r="F16" s="183"/>
      <c r="G16" s="183">
        <f>IF(ISERROR(E16+F16),"",(E16+F16))</f>
        <v>335</v>
      </c>
      <c r="H16" s="184">
        <f t="shared" si="0"/>
        <v>9.2187101841155291E-5</v>
      </c>
      <c r="J16" s="248" t="s">
        <v>350</v>
      </c>
      <c r="K16" s="249">
        <f>G205</f>
        <v>21960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3633914</v>
      </c>
      <c r="D17" s="273">
        <f>SUM(D12:D16)</f>
        <v>0</v>
      </c>
      <c r="E17" s="183">
        <f>SUM(E12:E16)</f>
        <v>3633914</v>
      </c>
      <c r="F17" s="183">
        <f>SUM(F12:F16)</f>
        <v>0</v>
      </c>
      <c r="G17" s="183">
        <f>IF(ISERROR(E17+F17),"",(E17+F17))</f>
        <v>3633914</v>
      </c>
      <c r="H17" s="184">
        <f t="shared" si="0"/>
        <v>1</v>
      </c>
      <c r="J17" s="248"/>
      <c r="K17" s="249"/>
      <c r="M17" s="237">
        <f>IFERROR(G17/G$198,0)</f>
        <v>174.58989141923706</v>
      </c>
      <c r="N17" s="241">
        <f>SUMMARY!M17</f>
        <v>177.04679867926177</v>
      </c>
    </row>
    <row r="18" spans="1:14" s="43" customFormat="1">
      <c r="A18" s="271"/>
      <c r="B18" s="221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117631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125343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'[4]Sch C'!D10</f>
        <v>83490</v>
      </c>
      <c r="D21" s="273">
        <f>'[4]Sch C'!F10</f>
        <v>43216</v>
      </c>
      <c r="E21" s="259">
        <f t="shared" ref="E21:E56" si="2">SUM(C21:D21)</f>
        <v>126706</v>
      </c>
      <c r="F21" s="180"/>
      <c r="G21" s="180">
        <f t="shared" ref="G21:G57" si="3">IF(ISERROR(E21+F21),"",(E21+F21))</f>
        <v>126706</v>
      </c>
      <c r="H21" s="181">
        <f>IF(ISERROR(G21/$G$183),"",(G21/$G$183))</f>
        <v>4.2327268159776367E-2</v>
      </c>
      <c r="J21" s="261">
        <v>4050</v>
      </c>
      <c r="K21" s="261">
        <v>4156</v>
      </c>
      <c r="M21" s="237">
        <f>IFERROR(G21/G$198,0)</f>
        <v>6.0875372345536656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'[4]Sch C'!D11</f>
        <v>0</v>
      </c>
      <c r="D22" s="273">
        <f>'[4]Sch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'[4]Sch C'!D12</f>
        <v>51071</v>
      </c>
      <c r="D23" s="273">
        <f>'[4]Sch C'!F12</f>
        <v>23307</v>
      </c>
      <c r="E23" s="259">
        <f t="shared" si="2"/>
        <v>74378</v>
      </c>
      <c r="F23" s="183"/>
      <c r="G23" s="183">
        <f t="shared" si="3"/>
        <v>74378</v>
      </c>
      <c r="H23" s="181">
        <f t="shared" si="4"/>
        <v>2.4846633554747578E-2</v>
      </c>
      <c r="J23" s="189">
        <v>2904</v>
      </c>
      <c r="K23" s="189">
        <v>3613</v>
      </c>
      <c r="M23" s="237">
        <f t="shared" si="5"/>
        <v>3.5734601710387239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'[4]Sch C'!D13</f>
        <v>30338</v>
      </c>
      <c r="D24" s="273">
        <f>'[4]Sch C'!F13</f>
        <v>45238</v>
      </c>
      <c r="E24" s="259">
        <f t="shared" si="2"/>
        <v>75576</v>
      </c>
      <c r="F24" s="183"/>
      <c r="G24" s="183">
        <f t="shared" si="3"/>
        <v>75576</v>
      </c>
      <c r="H24" s="181">
        <f t="shared" si="4"/>
        <v>2.5246836128070167E-2</v>
      </c>
      <c r="J24" s="136"/>
      <c r="K24" s="136"/>
      <c r="M24" s="237">
        <f t="shared" si="5"/>
        <v>3.6310175843182475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'[4]Sch C'!D14</f>
        <v>0</v>
      </c>
      <c r="D25" s="273">
        <f>'[4]Sch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'[4]Sch C'!D15</f>
        <v>208988</v>
      </c>
      <c r="D26" s="273">
        <f>'[4]Sch C'!F15</f>
        <v>-208988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'[4]Sch C'!D16</f>
        <v>0</v>
      </c>
      <c r="D27" s="273">
        <f>'[4]Sch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'[4]Sch C'!D17</f>
        <v>858</v>
      </c>
      <c r="D28" s="273">
        <f>'[4]Sch C'!F17</f>
        <v>0</v>
      </c>
      <c r="E28" s="259">
        <f t="shared" si="2"/>
        <v>858</v>
      </c>
      <c r="F28" s="183"/>
      <c r="G28" s="183">
        <f t="shared" si="3"/>
        <v>858</v>
      </c>
      <c r="H28" s="181">
        <f t="shared" si="4"/>
        <v>2.866225441659284E-4</v>
      </c>
      <c r="J28" s="136"/>
      <c r="K28" s="136"/>
      <c r="M28" s="237">
        <f t="shared" si="5"/>
        <v>4.1222254251945804E-2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'[4]Sch C'!D18</f>
        <v>7167</v>
      </c>
      <c r="D29" s="273">
        <f>'[4]Sch C'!F18</f>
        <v>6811</v>
      </c>
      <c r="E29" s="259">
        <f t="shared" si="2"/>
        <v>13978</v>
      </c>
      <c r="F29" s="183"/>
      <c r="G29" s="183">
        <f t="shared" si="3"/>
        <v>13978</v>
      </c>
      <c r="H29" s="181">
        <f t="shared" si="4"/>
        <v>4.6694754339759292E-3</v>
      </c>
      <c r="J29" s="136"/>
      <c r="K29" s="136"/>
      <c r="M29" s="237">
        <f t="shared" si="5"/>
        <v>0.67156721437493994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'[4]Sch C'!D19</f>
        <v>7668</v>
      </c>
      <c r="D30" s="273">
        <f>'[4]Sch C'!F19</f>
        <v>865</v>
      </c>
      <c r="E30" s="259">
        <f t="shared" si="2"/>
        <v>8533</v>
      </c>
      <c r="F30" s="183"/>
      <c r="G30" s="183">
        <f t="shared" si="3"/>
        <v>8533</v>
      </c>
      <c r="H30" s="181">
        <f t="shared" si="4"/>
        <v>2.8505246729229219E-3</v>
      </c>
      <c r="J30" s="136"/>
      <c r="K30" s="136"/>
      <c r="M30" s="237">
        <f t="shared" si="5"/>
        <v>0.40996444700682233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'[4]Sch C'!D20</f>
        <v>12833</v>
      </c>
      <c r="D31" s="273">
        <f>'[4]Sch C'!F20</f>
        <v>1044</v>
      </c>
      <c r="E31" s="259">
        <f t="shared" si="2"/>
        <v>13877</v>
      </c>
      <c r="F31" s="183"/>
      <c r="G31" s="183">
        <f t="shared" si="3"/>
        <v>13877</v>
      </c>
      <c r="H31" s="181">
        <f t="shared" si="4"/>
        <v>4.635735484138215E-3</v>
      </c>
      <c r="J31" s="136"/>
      <c r="K31" s="136"/>
      <c r="M31" s="237">
        <f t="shared" si="5"/>
        <v>0.66671471125204185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'[4]Sch C'!D21</f>
        <v>4255</v>
      </c>
      <c r="D32" s="273">
        <f>'[4]Sch C'!F21</f>
        <v>4680</v>
      </c>
      <c r="E32" s="259">
        <f t="shared" si="2"/>
        <v>8935</v>
      </c>
      <c r="F32" s="183"/>
      <c r="G32" s="183">
        <f t="shared" si="3"/>
        <v>8935</v>
      </c>
      <c r="H32" s="181">
        <f t="shared" si="4"/>
        <v>2.9848163544552099E-3</v>
      </c>
      <c r="J32" s="136"/>
      <c r="K32" s="136"/>
      <c r="M32" s="237">
        <f t="shared" si="5"/>
        <v>0.42927837032766408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'[4]Sch C'!D22</f>
        <v>0</v>
      </c>
      <c r="D33" s="273">
        <f>'[4]Sch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'[4]Sch C'!D23</f>
        <v>11266</v>
      </c>
      <c r="D34" s="273">
        <f>'[4]Sch C'!F23</f>
        <v>11601</v>
      </c>
      <c r="E34" s="259">
        <f t="shared" si="2"/>
        <v>22867</v>
      </c>
      <c r="F34" s="183"/>
      <c r="G34" s="183">
        <f t="shared" si="3"/>
        <v>22867</v>
      </c>
      <c r="H34" s="181">
        <f t="shared" si="4"/>
        <v>7.6389250786040612E-3</v>
      </c>
      <c r="J34" s="136"/>
      <c r="K34" s="136"/>
      <c r="M34" s="237">
        <f t="shared" si="5"/>
        <v>1.0986355337753435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'[4]Sch C'!D24</f>
        <v>11509</v>
      </c>
      <c r="D35" s="273">
        <f>'[4]Sch C'!F24</f>
        <v>16767</v>
      </c>
      <c r="E35" s="259">
        <f t="shared" si="2"/>
        <v>28276</v>
      </c>
      <c r="F35" s="183"/>
      <c r="G35" s="183">
        <f t="shared" si="3"/>
        <v>28276</v>
      </c>
      <c r="H35" s="181">
        <f t="shared" si="4"/>
        <v>9.4458497189228337E-3</v>
      </c>
      <c r="J35" s="136"/>
      <c r="K35" s="136"/>
      <c r="M35" s="237">
        <f t="shared" si="5"/>
        <v>1.3585086960699528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'[4]Sch C'!D25</f>
        <v>0</v>
      </c>
      <c r="D36" s="273">
        <f>'[4]Sch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'[4]Sch C'!D26</f>
        <v>0</v>
      </c>
      <c r="D37" s="273">
        <f>'[4]Sch C'!F26</f>
        <v>0</v>
      </c>
      <c r="E37" s="259">
        <f t="shared" si="2"/>
        <v>0</v>
      </c>
      <c r="F37" s="183"/>
      <c r="G37" s="183">
        <f t="shared" si="3"/>
        <v>0</v>
      </c>
      <c r="H37" s="181">
        <f t="shared" si="4"/>
        <v>0</v>
      </c>
      <c r="J37" s="136"/>
      <c r="K37" s="136"/>
      <c r="M37" s="237">
        <f t="shared" si="5"/>
        <v>0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'[4]Sch C'!D27</f>
        <v>66</v>
      </c>
      <c r="D38" s="273">
        <f>'[4]Sch C'!F27</f>
        <v>0</v>
      </c>
      <c r="E38" s="259">
        <f t="shared" si="2"/>
        <v>66</v>
      </c>
      <c r="F38" s="183"/>
      <c r="G38" s="183">
        <f t="shared" si="3"/>
        <v>66</v>
      </c>
      <c r="H38" s="181">
        <f t="shared" si="4"/>
        <v>2.2047888012763723E-5</v>
      </c>
      <c r="J38" s="136"/>
      <c r="K38" s="136"/>
      <c r="M38" s="237">
        <f t="shared" si="5"/>
        <v>3.1709426347650621E-3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'[4]Sch C'!D28</f>
        <v>-1887</v>
      </c>
      <c r="D39" s="273">
        <f>'[4]Sch C'!F28</f>
        <v>1887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'[4]Sch C'!D29</f>
        <v>0</v>
      </c>
      <c r="D40" s="273">
        <f>'[4]Sch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'[4]Sch C'!D30</f>
        <v>0</v>
      </c>
      <c r="D41" s="273">
        <f>'[4]Sch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'[4]Sch C'!D31</f>
        <v>0</v>
      </c>
      <c r="D42" s="273">
        <f>'[4]Sch C'!F31</f>
        <v>191</v>
      </c>
      <c r="E42" s="259">
        <f t="shared" si="2"/>
        <v>191</v>
      </c>
      <c r="F42" s="183"/>
      <c r="G42" s="183">
        <f t="shared" si="3"/>
        <v>191</v>
      </c>
      <c r="H42" s="181">
        <f t="shared" si="4"/>
        <v>6.3805251673301072E-5</v>
      </c>
      <c r="J42" s="136"/>
      <c r="K42" s="136"/>
      <c r="M42" s="237">
        <f t="shared" si="5"/>
        <v>9.1765158066685892E-3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'[4]Sch C'!D32</f>
        <v>0</v>
      </c>
      <c r="D43" s="273">
        <f>'[4]Sch C'!F32</f>
        <v>0</v>
      </c>
      <c r="E43" s="259">
        <f t="shared" si="2"/>
        <v>0</v>
      </c>
      <c r="F43" s="183"/>
      <c r="G43" s="183">
        <f t="shared" si="3"/>
        <v>0</v>
      </c>
      <c r="H43" s="181">
        <f t="shared" si="4"/>
        <v>0</v>
      </c>
      <c r="J43" s="136"/>
      <c r="K43" s="136"/>
      <c r="M43" s="237">
        <f t="shared" si="5"/>
        <v>0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'[4]Sch C'!D33</f>
        <v>0</v>
      </c>
      <c r="D44" s="273">
        <f>'[4]Sch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'[4]Sch C'!D34</f>
        <v>176086</v>
      </c>
      <c r="D45" s="273">
        <f>'[4]Sch C'!F34</f>
        <v>0</v>
      </c>
      <c r="E45" s="259">
        <f t="shared" si="2"/>
        <v>176086</v>
      </c>
      <c r="F45" s="183"/>
      <c r="G45" s="183">
        <f t="shared" si="3"/>
        <v>176086</v>
      </c>
      <c r="H45" s="181">
        <f t="shared" si="4"/>
        <v>5.8823097100235047E-2</v>
      </c>
      <c r="J45" s="136"/>
      <c r="K45" s="136"/>
      <c r="M45" s="237">
        <f t="shared" si="5"/>
        <v>8.4599788603824351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'[4]Sch C'!D35</f>
        <v>0</v>
      </c>
      <c r="D46" s="273">
        <f>'[4]Sch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'[4]Sch C'!D36</f>
        <v>0</v>
      </c>
      <c r="D47" s="273">
        <f>'[4]Sch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'[4]Sch C'!D37</f>
        <v>0</v>
      </c>
      <c r="D48" s="273">
        <f>'[4]Sch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'[4]Sch C'!D38</f>
        <v>0</v>
      </c>
      <c r="D49" s="273">
        <f>'[4]Sch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'[4]Sch C'!D39</f>
        <v>574</v>
      </c>
      <c r="D50" s="273">
        <f>'[4]Sch C'!F39</f>
        <v>32</v>
      </c>
      <c r="E50" s="259">
        <f t="shared" si="2"/>
        <v>606</v>
      </c>
      <c r="F50" s="183"/>
      <c r="G50" s="183">
        <f t="shared" si="3"/>
        <v>606</v>
      </c>
      <c r="H50" s="181">
        <f t="shared" si="4"/>
        <v>2.024396990262851E-4</v>
      </c>
      <c r="J50" s="136"/>
      <c r="K50" s="136"/>
      <c r="M50" s="237">
        <f t="shared" si="5"/>
        <v>2.9115018737388296E-2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'[4]Sch C'!D40</f>
        <v>500</v>
      </c>
      <c r="D51" s="273">
        <f>'[4]Sch C'!F40</f>
        <v>250</v>
      </c>
      <c r="E51" s="259">
        <f t="shared" si="2"/>
        <v>750</v>
      </c>
      <c r="F51" s="183"/>
      <c r="G51" s="183">
        <f t="shared" si="3"/>
        <v>750</v>
      </c>
      <c r="H51" s="181">
        <f t="shared" si="4"/>
        <v>2.5054418196322412E-4</v>
      </c>
      <c r="J51" s="136"/>
      <c r="K51" s="136"/>
      <c r="M51" s="237">
        <f t="shared" si="5"/>
        <v>3.6033439031421158E-2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'[4]Sch C'!D41</f>
        <v>3445</v>
      </c>
      <c r="D52" s="273">
        <f>'[4]Sch C'!F41</f>
        <v>98</v>
      </c>
      <c r="E52" s="259">
        <f t="shared" si="2"/>
        <v>3543</v>
      </c>
      <c r="F52" s="183"/>
      <c r="G52" s="183">
        <f t="shared" si="3"/>
        <v>3543</v>
      </c>
      <c r="H52" s="181">
        <f t="shared" si="4"/>
        <v>1.1835707155942708E-3</v>
      </c>
      <c r="J52" s="136"/>
      <c r="K52" s="136"/>
      <c r="M52" s="237">
        <f t="shared" si="5"/>
        <v>0.17022196598443357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'[4]Sch C'!D42</f>
        <v>0</v>
      </c>
      <c r="D53" s="273">
        <f>'[4]Sch C'!F42</f>
        <v>0</v>
      </c>
      <c r="E53" s="259">
        <f t="shared" si="2"/>
        <v>0</v>
      </c>
      <c r="F53" s="183"/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'[4]Sch C'!D43</f>
        <v>0</v>
      </c>
      <c r="D54" s="273">
        <f>'[4]Sch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'[4]Sch C'!D44</f>
        <v>0</v>
      </c>
      <c r="D55" s="273">
        <f>'[4]Sch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'[4]Sch C'!D45</f>
        <v>279</v>
      </c>
      <c r="D56" s="273">
        <f>'[4]Sch C'!F45</f>
        <v>212</v>
      </c>
      <c r="E56" s="259">
        <f t="shared" si="2"/>
        <v>491</v>
      </c>
      <c r="F56" s="183"/>
      <c r="G56" s="183">
        <f t="shared" si="3"/>
        <v>491</v>
      </c>
      <c r="H56" s="181">
        <f t="shared" si="4"/>
        <v>1.6402292445859073E-4</v>
      </c>
      <c r="J56" s="136"/>
      <c r="K56" s="136"/>
      <c r="M56" s="237">
        <f t="shared" si="5"/>
        <v>2.3589891419237053E-2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608506</v>
      </c>
      <c r="D57" s="273">
        <f>SUM(D21:D56)</f>
        <v>-52789</v>
      </c>
      <c r="E57" s="183">
        <f>SUM(E21:E56)</f>
        <v>555717</v>
      </c>
      <c r="F57" s="183">
        <f>SUM(F21:F56)</f>
        <v>0</v>
      </c>
      <c r="G57" s="183">
        <f t="shared" si="3"/>
        <v>555717</v>
      </c>
      <c r="H57" s="181">
        <f t="shared" si="4"/>
        <v>0.1856422148907427</v>
      </c>
      <c r="J57" s="136"/>
      <c r="K57" s="136"/>
      <c r="M57" s="237">
        <f t="shared" si="5"/>
        <v>26.699192850965694</v>
      </c>
      <c r="N57" s="243">
        <f>SUMMARY!M57</f>
        <v>39.672950949912064</v>
      </c>
      <c r="O57" s="238">
        <f>M57/N57-1</f>
        <v>-0.32701772336839807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'[4]Sch C'!D57</f>
        <v>327185</v>
      </c>
      <c r="D60" s="273">
        <f>'[4]Sch C'!F57</f>
        <v>-311278</v>
      </c>
      <c r="E60" s="259">
        <f t="shared" ref="E60:E76" si="6">SUM(C60:D60)</f>
        <v>15907</v>
      </c>
      <c r="F60" s="179">
        <v>-7200</v>
      </c>
      <c r="G60" s="179">
        <f>IF(ISERROR(E60+F60),"",(E60+F60))</f>
        <v>8707</v>
      </c>
      <c r="H60" s="181">
        <f>IF(ISERROR(G60/$G$183),"",(G60/$G$183))</f>
        <v>2.90865092313839E-3</v>
      </c>
      <c r="I60" s="279" t="s">
        <v>411</v>
      </c>
      <c r="J60" s="136"/>
      <c r="K60" s="136"/>
      <c r="M60" s="237">
        <f>IFERROR(G60/G$198,0)</f>
        <v>0.41832420486211203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'[4]Sch C'!D58</f>
        <v>365</v>
      </c>
      <c r="D61" s="273">
        <f>'[4]Sch C'!F58</f>
        <v>6260</v>
      </c>
      <c r="E61" s="259">
        <f t="shared" si="6"/>
        <v>6625</v>
      </c>
      <c r="F61" s="179"/>
      <c r="G61" s="179">
        <f t="shared" ref="G61:G76" si="7">IF(ISERROR(E61+F61),"",(E61+F61))</f>
        <v>6625</v>
      </c>
      <c r="H61" s="181">
        <f t="shared" ref="H61:H76" si="8">IF(ISERROR(G61/$G$183),"",(G61/$G$183))</f>
        <v>2.2131402740084797E-3</v>
      </c>
      <c r="J61" s="136"/>
      <c r="K61" s="136"/>
      <c r="M61" s="237">
        <f t="shared" ref="M61:M77" si="9">IFERROR(G61/G$198,0)</f>
        <v>0.31829537811088693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'[4]Sch C'!D59</f>
        <v>0</v>
      </c>
      <c r="D62" s="273">
        <f>'[4]Sch C'!F59</f>
        <v>0</v>
      </c>
      <c r="E62" s="259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37">
        <f t="shared" si="9"/>
        <v>0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'[4]Sch C'!D60</f>
        <v>13377</v>
      </c>
      <c r="D63" s="273">
        <f>'[4]Sch C'!F60</f>
        <v>0</v>
      </c>
      <c r="E63" s="259">
        <f t="shared" si="6"/>
        <v>13377</v>
      </c>
      <c r="F63" s="179"/>
      <c r="G63" s="179">
        <f t="shared" si="7"/>
        <v>13377</v>
      </c>
      <c r="H63" s="181">
        <f t="shared" si="8"/>
        <v>4.4687060294960656E-3</v>
      </c>
      <c r="J63" s="136"/>
      <c r="K63" s="136"/>
      <c r="M63" s="237">
        <f t="shared" si="9"/>
        <v>0.64269241856442783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'[4]Sch C'!D61</f>
        <v>42341</v>
      </c>
      <c r="D64" s="273">
        <f>'[4]Sch C'!F61</f>
        <v>0</v>
      </c>
      <c r="E64" s="259">
        <f t="shared" si="6"/>
        <v>42341</v>
      </c>
      <c r="F64" s="179"/>
      <c r="G64" s="179">
        <f t="shared" si="7"/>
        <v>42341</v>
      </c>
      <c r="H64" s="181">
        <f t="shared" si="8"/>
        <v>1.4144388278006497E-2</v>
      </c>
      <c r="J64" s="136"/>
      <c r="K64" s="136"/>
      <c r="M64" s="237">
        <f t="shared" si="9"/>
        <v>2.0342557893725379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'[4]Sch C'!D62</f>
        <v>0</v>
      </c>
      <c r="D65" s="273">
        <f>'[4]Sch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'[4]Sch C'!D63</f>
        <v>0</v>
      </c>
      <c r="D66" s="273">
        <f>'[4]Sch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'[4]Sch C'!D64</f>
        <v>3999</v>
      </c>
      <c r="D67" s="273">
        <f>'[4]Sch C'!F64</f>
        <v>5992</v>
      </c>
      <c r="E67" s="259">
        <f t="shared" si="6"/>
        <v>9991</v>
      </c>
      <c r="F67" s="179"/>
      <c r="G67" s="179">
        <f t="shared" si="7"/>
        <v>9991</v>
      </c>
      <c r="H67" s="181">
        <f t="shared" si="8"/>
        <v>3.3375825626594294E-3</v>
      </c>
      <c r="J67" s="136"/>
      <c r="K67" s="136"/>
      <c r="M67" s="237">
        <f t="shared" si="9"/>
        <v>0.48001345248390509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'[4]Sch C'!D65</f>
        <v>0</v>
      </c>
      <c r="D68" s="273">
        <f>'[4]Sch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'[4]Sch C'!D66</f>
        <v>0</v>
      </c>
      <c r="D69" s="273">
        <f>'[4]Sch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'[4]Sch C'!D67</f>
        <v>0</v>
      </c>
      <c r="D70" s="273">
        <f>'[4]Sch C'!F67</f>
        <v>606</v>
      </c>
      <c r="E70" s="259">
        <f t="shared" si="6"/>
        <v>606</v>
      </c>
      <c r="F70" s="179"/>
      <c r="G70" s="179">
        <f t="shared" si="7"/>
        <v>606</v>
      </c>
      <c r="H70" s="181">
        <f t="shared" si="8"/>
        <v>2.024396990262851E-4</v>
      </c>
      <c r="J70" s="136"/>
      <c r="K70" s="136"/>
      <c r="M70" s="237">
        <f t="shared" si="9"/>
        <v>2.9115018737388296E-2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'[4]Sch C'!D68</f>
        <v>0</v>
      </c>
      <c r="D71" s="273">
        <f>'[4]Sch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'[4]Sch C'!D69</f>
        <v>0</v>
      </c>
      <c r="D72" s="273">
        <f>'[4]Sch C'!F69</f>
        <v>0</v>
      </c>
      <c r="E72" s="259">
        <f t="shared" si="6"/>
        <v>0</v>
      </c>
      <c r="F72" s="179"/>
      <c r="G72" s="179">
        <f t="shared" si="7"/>
        <v>0</v>
      </c>
      <c r="H72" s="181">
        <f t="shared" si="8"/>
        <v>0</v>
      </c>
      <c r="J72" s="136"/>
      <c r="K72" s="136"/>
      <c r="M72" s="237">
        <f t="shared" si="9"/>
        <v>0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'[4]Sch C'!D70</f>
        <v>0</v>
      </c>
      <c r="D73" s="273">
        <f>'[4]Sch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'[4]Sch C'!D71</f>
        <v>0</v>
      </c>
      <c r="D74" s="273">
        <f>'[4]Sch C'!F71</f>
        <v>0</v>
      </c>
      <c r="E74" s="259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'[4]Sch C'!D72</f>
        <v>0</v>
      </c>
      <c r="D75" s="273">
        <f>'[4]Sch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'[4]Sch C'!D73</f>
        <v>0</v>
      </c>
      <c r="D76" s="273">
        <f>'[4]Sch C'!F73</f>
        <v>500</v>
      </c>
      <c r="E76" s="259">
        <f t="shared" si="6"/>
        <v>500</v>
      </c>
      <c r="F76" s="179"/>
      <c r="G76" s="179">
        <f t="shared" si="7"/>
        <v>500</v>
      </c>
      <c r="H76" s="181">
        <f t="shared" si="8"/>
        <v>1.6702945464214941E-4</v>
      </c>
      <c r="J76" s="136"/>
      <c r="K76" s="136"/>
      <c r="M76" s="237">
        <f t="shared" si="9"/>
        <v>2.4022292687614105E-2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387267</v>
      </c>
      <c r="D77" s="273">
        <f>SUM(D60:D76)</f>
        <v>-297920</v>
      </c>
      <c r="E77" s="182">
        <f>SUM(E60:E76)</f>
        <v>89347</v>
      </c>
      <c r="F77" s="182">
        <f>SUM(F60:F76)</f>
        <v>-7200</v>
      </c>
      <c r="G77" s="183">
        <f>IF(ISERROR(E77+F77),"",(E77+F77))</f>
        <v>82147</v>
      </c>
      <c r="H77" s="181">
        <f>IF(ISERROR(G77/$G$183),"",(G77/$G$183))</f>
        <v>2.7441937220977295E-2</v>
      </c>
      <c r="J77" s="136"/>
      <c r="K77" s="136"/>
      <c r="M77" s="237">
        <f t="shared" si="9"/>
        <v>3.9467185548188719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'[4]Sch C'!D78</f>
        <v>62369</v>
      </c>
      <c r="D80" s="273">
        <f>'[4]Sch C'!F78</f>
        <v>0</v>
      </c>
      <c r="E80" s="259">
        <f t="shared" ref="E80:E91" si="10">SUM(C80:D80)</f>
        <v>62369</v>
      </c>
      <c r="F80" s="180"/>
      <c r="G80" s="180">
        <f>IF(ISERROR(E80+F80),"",(E80+F80))</f>
        <v>62369</v>
      </c>
      <c r="H80" s="181">
        <f t="shared" ref="H80:H92" si="11">IF(ISERROR(G80/$G$183),"",(G80/$G$183))</f>
        <v>2.0834920113152435E-2</v>
      </c>
      <c r="J80" s="261">
        <v>3971</v>
      </c>
      <c r="K80" s="261">
        <v>4188</v>
      </c>
      <c r="M80" s="237">
        <f t="shared" ref="M80:M92" si="12">IFERROR(G80/G$198,0)</f>
        <v>2.9964927452676084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'[4]Sch C'!D79</f>
        <v>6857</v>
      </c>
      <c r="D81" s="273">
        <f>'[4]Sch C'!F79</f>
        <v>0</v>
      </c>
      <c r="E81" s="259">
        <f t="shared" si="10"/>
        <v>6857</v>
      </c>
      <c r="F81" s="183"/>
      <c r="G81" s="183">
        <f>IF(ISERROR(E81+F81),"",(E81+F81))</f>
        <v>6857</v>
      </c>
      <c r="H81" s="181">
        <f t="shared" si="11"/>
        <v>2.2906419409624373E-3</v>
      </c>
      <c r="J81" s="136"/>
      <c r="K81" s="136"/>
      <c r="M81" s="237">
        <f t="shared" si="12"/>
        <v>0.32944172191793986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'[4]Sch C'!D80</f>
        <v>3763</v>
      </c>
      <c r="D82" s="273">
        <f>'[4]Sch C'!F80</f>
        <v>0</v>
      </c>
      <c r="E82" s="259">
        <f t="shared" si="10"/>
        <v>3763</v>
      </c>
      <c r="F82" s="183"/>
      <c r="G82" s="183">
        <f>IF(ISERROR(E82+F82),"",(E82+F82))</f>
        <v>3763</v>
      </c>
      <c r="H82" s="181">
        <f t="shared" si="11"/>
        <v>1.2570636756368166E-3</v>
      </c>
      <c r="J82" s="136"/>
      <c r="K82" s="136"/>
      <c r="M82" s="237">
        <f t="shared" si="12"/>
        <v>0.18079177476698377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'[4]Sch C'!D81</f>
        <v>3865</v>
      </c>
      <c r="D83" s="273">
        <f>'[4]Sch C'!F81</f>
        <v>0</v>
      </c>
      <c r="E83" s="259">
        <f t="shared" si="10"/>
        <v>3865</v>
      </c>
      <c r="F83" s="183"/>
      <c r="G83" s="183">
        <f>IF(ISERROR(E83+F83),"",(E83+F83))</f>
        <v>3865</v>
      </c>
      <c r="H83" s="181">
        <f t="shared" si="11"/>
        <v>1.291137684383815E-3</v>
      </c>
      <c r="J83" s="136"/>
      <c r="K83" s="136"/>
      <c r="M83" s="237">
        <f t="shared" si="12"/>
        <v>0.18569232247525705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'[4]Sch C'!D82</f>
        <v>1227</v>
      </c>
      <c r="D84" s="273">
        <f>'[4]Sch C'!F82</f>
        <v>0</v>
      </c>
      <c r="E84" s="259">
        <f t="shared" si="10"/>
        <v>1227</v>
      </c>
      <c r="F84" s="183"/>
      <c r="G84" s="183">
        <f t="shared" ref="G84:G91" si="13">IF(ISERROR(E84+F84),"",(E84+F84))</f>
        <v>1227</v>
      </c>
      <c r="H84" s="181">
        <f t="shared" si="11"/>
        <v>4.0989028169183467E-4</v>
      </c>
      <c r="J84" s="136"/>
      <c r="K84" s="136"/>
      <c r="M84" s="237">
        <f t="shared" si="12"/>
        <v>5.8950706255405015E-2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'[4]Sch C'!D83</f>
        <v>6448</v>
      </c>
      <c r="D85" s="273">
        <f>'[4]Sch C'!F83</f>
        <v>0</v>
      </c>
      <c r="E85" s="259">
        <f t="shared" si="10"/>
        <v>6448</v>
      </c>
      <c r="F85" s="183"/>
      <c r="G85" s="183">
        <f t="shared" si="13"/>
        <v>6448</v>
      </c>
      <c r="H85" s="181">
        <f t="shared" si="11"/>
        <v>2.1540118470651588E-3</v>
      </c>
      <c r="J85" s="136"/>
      <c r="K85" s="136"/>
      <c r="M85" s="237">
        <f t="shared" si="12"/>
        <v>0.30979148649947152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'[4]Sch C'!D84</f>
        <v>11192</v>
      </c>
      <c r="D86" s="273">
        <f>'[4]Sch C'!F84</f>
        <v>0</v>
      </c>
      <c r="E86" s="259">
        <f t="shared" si="10"/>
        <v>11192</v>
      </c>
      <c r="F86" s="183"/>
      <c r="G86" s="183">
        <f t="shared" si="13"/>
        <v>11192</v>
      </c>
      <c r="H86" s="181">
        <f t="shared" si="11"/>
        <v>3.7387873127098727E-3</v>
      </c>
      <c r="J86" s="136"/>
      <c r="K86" s="136"/>
      <c r="M86" s="237">
        <f t="shared" si="12"/>
        <v>0.53771499951955415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'[4]Sch C'!D85</f>
        <v>2465</v>
      </c>
      <c r="D87" s="273">
        <f>'[4]Sch C'!F85</f>
        <v>0</v>
      </c>
      <c r="E87" s="259">
        <f t="shared" si="10"/>
        <v>2465</v>
      </c>
      <c r="F87" s="183"/>
      <c r="G87" s="183">
        <f t="shared" si="13"/>
        <v>2465</v>
      </c>
      <c r="H87" s="181">
        <f t="shared" si="11"/>
        <v>8.2345521138579663E-4</v>
      </c>
      <c r="J87" s="136"/>
      <c r="K87" s="136"/>
      <c r="M87" s="237">
        <f t="shared" si="12"/>
        <v>0.11842990294993755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'[4]Sch C'!D86</f>
        <v>16906</v>
      </c>
      <c r="D88" s="273">
        <f>'[4]Sch C'!F86</f>
        <v>0</v>
      </c>
      <c r="E88" s="259">
        <f t="shared" si="10"/>
        <v>16906</v>
      </c>
      <c r="F88" s="183"/>
      <c r="G88" s="183">
        <f t="shared" si="13"/>
        <v>16906</v>
      </c>
      <c r="H88" s="181">
        <f t="shared" si="11"/>
        <v>5.6475999203603562E-3</v>
      </c>
      <c r="J88" s="136"/>
      <c r="K88" s="136"/>
      <c r="M88" s="237">
        <f t="shared" si="12"/>
        <v>0.81224176035360818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'[4]Sch C'!D87</f>
        <v>51462</v>
      </c>
      <c r="D89" s="273">
        <f>'[4]Sch C'!F87</f>
        <v>0</v>
      </c>
      <c r="E89" s="259">
        <f t="shared" si="10"/>
        <v>51462</v>
      </c>
      <c r="F89" s="183"/>
      <c r="G89" s="183">
        <f t="shared" si="13"/>
        <v>51462</v>
      </c>
      <c r="H89" s="181">
        <f t="shared" si="11"/>
        <v>1.7191339589588586E-2</v>
      </c>
      <c r="J89" s="136"/>
      <c r="K89" s="136"/>
      <c r="M89" s="237">
        <f t="shared" si="12"/>
        <v>2.4724704525799943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'[4]Sch C'!D88</f>
        <v>0</v>
      </c>
      <c r="D90" s="273">
        <f>'[4]Sch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'[4]Sch C'!D89</f>
        <v>0</v>
      </c>
      <c r="D91" s="273">
        <f>'[4]Sch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166554</v>
      </c>
      <c r="D92" s="273">
        <f>SUM(D80:D91)</f>
        <v>0</v>
      </c>
      <c r="E92" s="183">
        <f>SUM(E80:E91)</f>
        <v>166554</v>
      </c>
      <c r="F92" s="183">
        <f>SUM(F80:F91)</f>
        <v>0</v>
      </c>
      <c r="G92" s="183">
        <f>IF(ISERROR(E92+F92),"",(E92+F92))</f>
        <v>166554</v>
      </c>
      <c r="H92" s="181">
        <f t="shared" si="11"/>
        <v>5.5638847576937107E-2</v>
      </c>
      <c r="J92" s="136"/>
      <c r="K92" s="136"/>
      <c r="M92" s="237">
        <f t="shared" si="12"/>
        <v>8.0020178725857605</v>
      </c>
      <c r="N92" s="243">
        <f>SUMMARY!M92</f>
        <v>10.36414021133649</v>
      </c>
      <c r="O92" s="238">
        <f>M92/N92-1</f>
        <v>-0.22791300489808086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'[4]Sch C'!D93</f>
        <v>145523</v>
      </c>
      <c r="D95" s="273">
        <f>'[4]Sch C'!F93</f>
        <v>0</v>
      </c>
      <c r="E95" s="259">
        <f t="shared" ref="E95:E100" si="14">SUM(C95:D95)</f>
        <v>145523</v>
      </c>
      <c r="F95" s="180"/>
      <c r="G95" s="180">
        <f t="shared" ref="G95:G101" si="15">IF(ISERROR(E95+F95),"",(E95+F95))</f>
        <v>145523</v>
      </c>
      <c r="H95" s="181">
        <f t="shared" ref="H95:H101" si="16">IF(ISERROR(G95/$G$183),"",(G95/$G$183))</f>
        <v>4.8613254655779016E-2</v>
      </c>
      <c r="J95" s="261">
        <v>11623</v>
      </c>
      <c r="K95" s="261">
        <v>12667</v>
      </c>
      <c r="M95" s="237">
        <f t="shared" ref="M95:M101" si="17">IFERROR(G95/G$198,0)</f>
        <v>6.9915921975593349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'[4]Sch C'!D94</f>
        <v>25628</v>
      </c>
      <c r="D96" s="273">
        <f>'[4]Sch C'!F94</f>
        <v>0</v>
      </c>
      <c r="E96" s="259">
        <f t="shared" si="14"/>
        <v>25628</v>
      </c>
      <c r="F96" s="183"/>
      <c r="G96" s="183">
        <f t="shared" si="15"/>
        <v>25628</v>
      </c>
      <c r="H96" s="181">
        <f t="shared" si="16"/>
        <v>8.5612617271380101E-3</v>
      </c>
      <c r="J96" s="136"/>
      <c r="K96" s="136"/>
      <c r="M96" s="237">
        <f t="shared" si="17"/>
        <v>1.2312866339963486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'[4]Sch C'!D95</f>
        <v>5576</v>
      </c>
      <c r="D97" s="273">
        <f>'[4]Sch C'!F95</f>
        <v>0</v>
      </c>
      <c r="E97" s="259">
        <f t="shared" si="14"/>
        <v>5576</v>
      </c>
      <c r="F97" s="183"/>
      <c r="G97" s="183">
        <f t="shared" si="15"/>
        <v>5576</v>
      </c>
      <c r="H97" s="181">
        <f t="shared" si="16"/>
        <v>1.8627124781692504E-3</v>
      </c>
      <c r="J97" s="136"/>
      <c r="K97" s="136"/>
      <c r="M97" s="237">
        <f t="shared" si="17"/>
        <v>0.2678966080522725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'[4]Sch C'!D96</f>
        <v>143360</v>
      </c>
      <c r="D98" s="273">
        <f>'[4]Sch C'!F96</f>
        <v>0</v>
      </c>
      <c r="E98" s="259">
        <f t="shared" si="14"/>
        <v>143360</v>
      </c>
      <c r="F98" s="183"/>
      <c r="G98" s="183">
        <f t="shared" si="15"/>
        <v>143360</v>
      </c>
      <c r="H98" s="181">
        <f t="shared" si="16"/>
        <v>4.789068523499708E-2</v>
      </c>
      <c r="J98" s="136"/>
      <c r="K98" s="136"/>
      <c r="M98" s="237">
        <f t="shared" si="17"/>
        <v>6.8876717593927168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'[4]Sch C'!D97</f>
        <v>16437</v>
      </c>
      <c r="D99" s="273">
        <f>'[4]Sch C'!F97</f>
        <v>0</v>
      </c>
      <c r="E99" s="259">
        <f t="shared" si="14"/>
        <v>16437</v>
      </c>
      <c r="F99" s="183"/>
      <c r="G99" s="183">
        <f t="shared" si="15"/>
        <v>16437</v>
      </c>
      <c r="H99" s="181">
        <f t="shared" si="16"/>
        <v>5.4909262919060195E-3</v>
      </c>
      <c r="J99" s="136"/>
      <c r="K99" s="136"/>
      <c r="M99" s="237">
        <f t="shared" si="17"/>
        <v>0.78970884981262612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'[4]Sch C'!D98</f>
        <v>0</v>
      </c>
      <c r="D100" s="273">
        <f>'[4]Sch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336524</v>
      </c>
      <c r="D101" s="273">
        <f>SUM(D95:D100)</f>
        <v>0</v>
      </c>
      <c r="E101" s="183">
        <f>SUM(E95:E100)</f>
        <v>336524</v>
      </c>
      <c r="F101" s="183">
        <f>SUM(F95:F100)</f>
        <v>0</v>
      </c>
      <c r="G101" s="183">
        <f t="shared" si="15"/>
        <v>336524</v>
      </c>
      <c r="H101" s="181">
        <f t="shared" si="16"/>
        <v>0.11241884038798938</v>
      </c>
      <c r="J101" s="136"/>
      <c r="K101" s="136"/>
      <c r="M101" s="237">
        <f t="shared" si="17"/>
        <v>16.168156048813298</v>
      </c>
      <c r="N101" s="243">
        <f>SUMMARY!M101</f>
        <v>14.116295917008408</v>
      </c>
      <c r="O101" s="238">
        <f>M101/N101-1</f>
        <v>0.14535400390216036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'[4]Sch C'!D102</f>
        <v>28681</v>
      </c>
      <c r="D104" s="273">
        <f>'[4]Sch C'!F102</f>
        <v>0</v>
      </c>
      <c r="E104" s="259">
        <f t="shared" ref="E104:E109" si="18">SUM(C104:D104)</f>
        <v>28681</v>
      </c>
      <c r="F104" s="180"/>
      <c r="G104" s="180">
        <f t="shared" ref="G104:G110" si="19">IF(ISERROR(E104+F104),"",(E104+F104))</f>
        <v>28681</v>
      </c>
      <c r="H104" s="181">
        <f t="shared" ref="H104:H110" si="20">IF(ISERROR(G104/$G$183),"",(G104/$G$183))</f>
        <v>9.5811435771829753E-3</v>
      </c>
      <c r="J104" s="261">
        <v>3044</v>
      </c>
      <c r="K104" s="261">
        <v>3089</v>
      </c>
      <c r="M104" s="237">
        <f t="shared" ref="M104:M110" si="21">IFERROR(G104/G$198,0)</f>
        <v>1.3779667531469204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'[4]Sch C'!D103</f>
        <v>3545</v>
      </c>
      <c r="D105" s="273">
        <f>'[4]Sch C'!F103</f>
        <v>0</v>
      </c>
      <c r="E105" s="259">
        <f t="shared" si="18"/>
        <v>3545</v>
      </c>
      <c r="F105" s="183"/>
      <c r="G105" s="183">
        <f t="shared" si="19"/>
        <v>3545</v>
      </c>
      <c r="H105" s="181">
        <f t="shared" si="20"/>
        <v>1.1842388334128394E-3</v>
      </c>
      <c r="J105" s="136"/>
      <c r="K105" s="136"/>
      <c r="M105" s="237">
        <f t="shared" si="21"/>
        <v>0.170318055155184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'[4]Sch C'!D104</f>
        <v>3121</v>
      </c>
      <c r="D106" s="273">
        <f>'[4]Sch C'!F104</f>
        <v>0</v>
      </c>
      <c r="E106" s="259">
        <f t="shared" si="18"/>
        <v>3121</v>
      </c>
      <c r="F106" s="183"/>
      <c r="G106" s="183">
        <f t="shared" si="19"/>
        <v>3121</v>
      </c>
      <c r="H106" s="181">
        <f t="shared" si="20"/>
        <v>1.0425978558762966E-3</v>
      </c>
      <c r="J106" s="136"/>
      <c r="K106" s="136"/>
      <c r="M106" s="237">
        <f t="shared" si="21"/>
        <v>0.14994715095608724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'[4]Sch C'!D105</f>
        <v>0</v>
      </c>
      <c r="D107" s="273">
        <f>'[4]Sch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'[4]Sch C'!D106</f>
        <v>685</v>
      </c>
      <c r="D108" s="273">
        <f>'[4]Sch C'!F106</f>
        <v>0</v>
      </c>
      <c r="E108" s="259">
        <f t="shared" si="18"/>
        <v>685</v>
      </c>
      <c r="F108" s="183"/>
      <c r="G108" s="183">
        <f t="shared" si="19"/>
        <v>685</v>
      </c>
      <c r="H108" s="181">
        <f t="shared" si="20"/>
        <v>2.288303528597447E-4</v>
      </c>
      <c r="J108" s="136"/>
      <c r="K108" s="136"/>
      <c r="M108" s="237">
        <f t="shared" si="21"/>
        <v>3.2910540982031326E-2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'[4]Sch C'!D107</f>
        <v>0</v>
      </c>
      <c r="D109" s="273">
        <f>'[4]Sch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36032</v>
      </c>
      <c r="D110" s="273">
        <f>SUM(D104:D109)</f>
        <v>0</v>
      </c>
      <c r="E110" s="183">
        <f>SUM(E104:E109)</f>
        <v>36032</v>
      </c>
      <c r="F110" s="183">
        <f>SUM(F104:F109)</f>
        <v>0</v>
      </c>
      <c r="G110" s="183">
        <f t="shared" si="19"/>
        <v>36032</v>
      </c>
      <c r="H110" s="181">
        <f t="shared" si="20"/>
        <v>1.2036810619331855E-2</v>
      </c>
      <c r="J110" s="136"/>
      <c r="K110" s="136"/>
      <c r="M110" s="237">
        <f t="shared" si="21"/>
        <v>1.731142500240223</v>
      </c>
      <c r="N110" s="243">
        <f>SUMMARY!M110</f>
        <v>2.6822243142585545</v>
      </c>
      <c r="O110" s="238">
        <f>M110/N110-1</f>
        <v>-0.35458697803999228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'[4]Sch C'!D121</f>
        <v>54749</v>
      </c>
      <c r="D113" s="273">
        <f>'[4]Sch C'!F121</f>
        <v>0</v>
      </c>
      <c r="E113" s="259">
        <f t="shared" ref="E113:E117" si="22">SUM(C113:D113)</f>
        <v>54749</v>
      </c>
      <c r="F113" s="180"/>
      <c r="G113" s="180">
        <f t="shared" ref="G113:G118" si="23">IF(ISERROR(E113+F113),"",(E113+F113))</f>
        <v>54749</v>
      </c>
      <c r="H113" s="181">
        <f t="shared" ref="H113:H118" si="24">IF(ISERROR(G113/$G$183),"",(G113/$G$183))</f>
        <v>1.8289391224406076E-2</v>
      </c>
      <c r="J113" s="261">
        <v>5227</v>
      </c>
      <c r="K113" s="261">
        <v>5864</v>
      </c>
      <c r="M113" s="237">
        <f t="shared" ref="M113:M118" si="25">IFERROR(G113/G$198,0)</f>
        <v>2.6303930047083695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'[4]Sch C'!D122</f>
        <v>16122</v>
      </c>
      <c r="D114" s="273">
        <f>'[4]Sch C'!F122</f>
        <v>0</v>
      </c>
      <c r="E114" s="259">
        <f t="shared" si="22"/>
        <v>16122</v>
      </c>
      <c r="F114" s="183"/>
      <c r="G114" s="183">
        <f t="shared" si="23"/>
        <v>16122</v>
      </c>
      <c r="H114" s="181">
        <f t="shared" si="24"/>
        <v>5.3856977354814657E-3</v>
      </c>
      <c r="J114" s="136"/>
      <c r="K114" s="136"/>
      <c r="M114" s="237">
        <f t="shared" si="25"/>
        <v>0.77457480541942925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'[4]Sch C'!D123</f>
        <v>15451</v>
      </c>
      <c r="D115" s="273">
        <f>'[4]Sch C'!F123</f>
        <v>0</v>
      </c>
      <c r="E115" s="259">
        <f t="shared" si="22"/>
        <v>15451</v>
      </c>
      <c r="F115" s="183"/>
      <c r="G115" s="183">
        <f t="shared" si="23"/>
        <v>15451</v>
      </c>
      <c r="H115" s="181">
        <f t="shared" si="24"/>
        <v>5.1615442073517015E-3</v>
      </c>
      <c r="J115" s="136"/>
      <c r="K115" s="136"/>
      <c r="M115" s="237">
        <f t="shared" si="25"/>
        <v>0.74233688863265113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'[4]Sch C'!D124</f>
        <v>0</v>
      </c>
      <c r="D116" s="273">
        <f>'[4]Sch C'!F124</f>
        <v>0</v>
      </c>
      <c r="E116" s="259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'[4]Sch C'!D125</f>
        <v>0</v>
      </c>
      <c r="D117" s="273">
        <f>'[4]Sch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86322</v>
      </c>
      <c r="D118" s="273">
        <f>SUM(D113:D117)</f>
        <v>0</v>
      </c>
      <c r="E118" s="183">
        <f>SUM(E113:E117)</f>
        <v>86322</v>
      </c>
      <c r="F118" s="183">
        <f>SUM(F113:F117)</f>
        <v>0</v>
      </c>
      <c r="G118" s="183">
        <f t="shared" si="23"/>
        <v>86322</v>
      </c>
      <c r="H118" s="181">
        <f t="shared" si="24"/>
        <v>2.8836633167239244E-2</v>
      </c>
      <c r="J118" s="136"/>
      <c r="K118" s="136"/>
      <c r="M118" s="237">
        <f t="shared" si="25"/>
        <v>4.1473046987604496</v>
      </c>
      <c r="N118" s="243">
        <f>SUMMARY!M118</f>
        <v>3.1676887539780583</v>
      </c>
      <c r="O118" s="238">
        <f>M118/N118-1</f>
        <v>0.30925258788514709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'[4]Sch C'!D129</f>
        <v>33042</v>
      </c>
      <c r="D121" s="273">
        <f>'[4]Sch C'!F129</f>
        <v>0</v>
      </c>
      <c r="E121" s="259">
        <f t="shared" ref="E121:E131" si="26">SUM(C121:D121)</f>
        <v>33042</v>
      </c>
      <c r="F121" s="180"/>
      <c r="G121" s="180">
        <f>IF(ISERROR(E121+F121),"",(E121+F121))</f>
        <v>33042</v>
      </c>
      <c r="H121" s="181">
        <f>IF(ISERROR(G121/$G$183),"",(G121/$G$183))</f>
        <v>1.1037974480571802E-2</v>
      </c>
      <c r="J121" s="261">
        <v>1963</v>
      </c>
      <c r="K121" s="261">
        <v>2434</v>
      </c>
      <c r="M121" s="237">
        <f t="shared" ref="M121:M131" si="27">IFERROR(G121/G$198,0)</f>
        <v>1.5874891899682906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'[4]Sch C'!D130</f>
        <v>6495</v>
      </c>
      <c r="D122" s="273">
        <f>'[4]Sch C'!F130</f>
        <v>0</v>
      </c>
      <c r="E122" s="259">
        <f t="shared" si="26"/>
        <v>6495</v>
      </c>
      <c r="F122" s="180"/>
      <c r="G122" s="180">
        <f t="shared" ref="G122:G131" si="28">IF(ISERROR(E122+F122),"",(E122+F122))</f>
        <v>6495</v>
      </c>
      <c r="H122" s="181">
        <f t="shared" ref="H122:H131" si="29">IF(ISERROR(G122/$G$183),"",(G122/$G$183))</f>
        <v>2.1697126158015207E-3</v>
      </c>
      <c r="J122" s="136"/>
      <c r="K122" s="136"/>
      <c r="M122" s="237">
        <f t="shared" si="27"/>
        <v>0.31204958201210725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'[4]Sch C'!D131</f>
        <v>253002</v>
      </c>
      <c r="D123" s="273">
        <f>'[4]Sch C'!F131</f>
        <v>0</v>
      </c>
      <c r="E123" s="259">
        <f t="shared" si="26"/>
        <v>253002</v>
      </c>
      <c r="F123" s="180"/>
      <c r="G123" s="180">
        <f t="shared" si="28"/>
        <v>253002</v>
      </c>
      <c r="H123" s="181">
        <f t="shared" si="29"/>
        <v>8.4517572166746172E-2</v>
      </c>
      <c r="J123" s="261">
        <v>11781</v>
      </c>
      <c r="K123" s="261">
        <v>12480</v>
      </c>
      <c r="M123" s="237">
        <f t="shared" si="27"/>
        <v>12.155376189103489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'[4]Sch C'!D132</f>
        <v>47628</v>
      </c>
      <c r="D124" s="273">
        <f>'[4]Sch C'!F132</f>
        <v>0</v>
      </c>
      <c r="E124" s="259">
        <f t="shared" si="26"/>
        <v>47628</v>
      </c>
      <c r="F124" s="180"/>
      <c r="G124" s="180">
        <f t="shared" si="28"/>
        <v>47628</v>
      </c>
      <c r="H124" s="181">
        <f t="shared" si="29"/>
        <v>1.5910557731392584E-2</v>
      </c>
      <c r="J124" s="136"/>
      <c r="K124" s="136"/>
      <c r="M124" s="237">
        <f t="shared" si="27"/>
        <v>2.2882675122513692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'[4]Sch C'!D133</f>
        <v>30711</v>
      </c>
      <c r="D125" s="273">
        <f>'[4]Sch C'!F133</f>
        <v>0</v>
      </c>
      <c r="E125" s="259">
        <f t="shared" si="26"/>
        <v>30711</v>
      </c>
      <c r="F125" s="180"/>
      <c r="G125" s="180">
        <f t="shared" si="28"/>
        <v>30711</v>
      </c>
      <c r="H125" s="181">
        <f t="shared" si="29"/>
        <v>1.0259283163030101E-2</v>
      </c>
      <c r="J125" s="261">
        <v>0</v>
      </c>
      <c r="K125" s="261">
        <v>0</v>
      </c>
      <c r="M125" s="237">
        <f t="shared" si="27"/>
        <v>1.4754972614586337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'[4]Sch C'!D134</f>
        <v>39796</v>
      </c>
      <c r="D126" s="273">
        <f>'[4]Sch C'!F134</f>
        <v>0</v>
      </c>
      <c r="E126" s="259">
        <f t="shared" si="26"/>
        <v>39796</v>
      </c>
      <c r="F126" s="180"/>
      <c r="G126" s="180">
        <f t="shared" si="28"/>
        <v>39796</v>
      </c>
      <c r="H126" s="181">
        <f t="shared" si="29"/>
        <v>1.3294208353877957E-2</v>
      </c>
      <c r="J126" s="136"/>
      <c r="K126" s="136"/>
      <c r="M126" s="237">
        <f t="shared" si="27"/>
        <v>1.911982319592582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'[4]Sch C'!D135</f>
        <v>0</v>
      </c>
      <c r="D127" s="273">
        <f>'[4]Sch C'!F135</f>
        <v>0</v>
      </c>
      <c r="E127" s="259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'[4]Sch C'!D136</f>
        <v>0</v>
      </c>
      <c r="D128" s="273">
        <f>'[4]Sch C'!F136</f>
        <v>0</v>
      </c>
      <c r="E128" s="259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'[4]Sch C'!D137</f>
        <v>0</v>
      </c>
      <c r="D129" s="273">
        <f>'[4]Sch C'!F137</f>
        <v>0</v>
      </c>
      <c r="E129" s="259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37">
        <f t="shared" si="27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'[4]Sch C'!D138</f>
        <v>0</v>
      </c>
      <c r="D130" s="273">
        <f>'[4]Sch C'!F138</f>
        <v>0</v>
      </c>
      <c r="E130" s="259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'[4]Sch C'!D139</f>
        <v>6140</v>
      </c>
      <c r="D131" s="273">
        <f>'[4]Sch C'!F139</f>
        <v>0</v>
      </c>
      <c r="E131" s="259">
        <f t="shared" si="26"/>
        <v>6140</v>
      </c>
      <c r="F131" s="180"/>
      <c r="G131" s="180">
        <f t="shared" si="28"/>
        <v>6140</v>
      </c>
      <c r="H131" s="181">
        <f t="shared" si="29"/>
        <v>2.0511217030055946E-3</v>
      </c>
      <c r="J131" s="136"/>
      <c r="K131" s="136"/>
      <c r="M131" s="237">
        <f t="shared" si="27"/>
        <v>0.29499375420390123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'[4]Sch C'!D141</f>
        <v>0</v>
      </c>
      <c r="D133" s="273">
        <f>'[4]Sch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'[4]Sch C'!D142</f>
        <v>0</v>
      </c>
      <c r="D134" s="273">
        <f>'[4]Sch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'[4]Sch C'!D143</f>
        <v>0</v>
      </c>
      <c r="D135" s="273">
        <f>'[4]Sch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'[4]Sch C'!D144</f>
        <v>0</v>
      </c>
      <c r="D136" s="273">
        <f>'[4]Sch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'[4]Sch C'!D145</f>
        <v>695</v>
      </c>
      <c r="D137" s="273">
        <f>'[4]Sch C'!F145</f>
        <v>0</v>
      </c>
      <c r="E137" s="259">
        <f t="shared" si="30"/>
        <v>695</v>
      </c>
      <c r="F137" s="183"/>
      <c r="G137" s="183">
        <f t="shared" si="33"/>
        <v>695</v>
      </c>
      <c r="H137" s="181">
        <f t="shared" si="31"/>
        <v>2.3217094195258767E-4</v>
      </c>
      <c r="J137" s="136"/>
      <c r="K137" s="136"/>
      <c r="M137" s="237">
        <f t="shared" si="32"/>
        <v>3.3390986835783606E-2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'[4]Sch C'!D146</f>
        <v>0</v>
      </c>
      <c r="D138" s="273">
        <f>'[4]Sch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417509</v>
      </c>
      <c r="D139" s="273">
        <f>SUM(D121:D138)</f>
        <v>0</v>
      </c>
      <c r="E139" s="182">
        <f>SUM(E121:E138)</f>
        <v>417509</v>
      </c>
      <c r="F139" s="182">
        <f>SUM(F121:F138)</f>
        <v>0</v>
      </c>
      <c r="G139" s="183">
        <f t="shared" si="33"/>
        <v>417509</v>
      </c>
      <c r="H139" s="181">
        <f t="shared" si="31"/>
        <v>0.13947260115637833</v>
      </c>
      <c r="J139" s="136"/>
      <c r="K139" s="136"/>
      <c r="M139" s="237">
        <f t="shared" si="32"/>
        <v>20.059046795426156</v>
      </c>
      <c r="N139" s="243">
        <f>SUMMARY!M139</f>
        <v>37.231450929246826</v>
      </c>
      <c r="O139" s="238">
        <f>M139/N139-1</f>
        <v>-0.46123381456324186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'[4]Sch C'!D150</f>
        <v>108147</v>
      </c>
      <c r="D142" s="273">
        <f>'[4]Sch C'!F150</f>
        <v>0</v>
      </c>
      <c r="E142" s="259">
        <f t="shared" ref="E142:E146" si="34">SUM(C142:D142)</f>
        <v>108147</v>
      </c>
      <c r="F142" s="180"/>
      <c r="G142" s="180">
        <f t="shared" ref="G142:G147" si="35">IF(ISERROR(E142+F142),"",(E142+F142))</f>
        <v>108147</v>
      </c>
      <c r="H142" s="181">
        <f t="shared" ref="H142:H147" si="36">IF(ISERROR(G142/$G$183),"",(G142/$G$183))</f>
        <v>3.6127468862369068E-2</v>
      </c>
      <c r="J142" s="261">
        <v>9312</v>
      </c>
      <c r="K142" s="261">
        <v>9648</v>
      </c>
      <c r="M142" s="237">
        <f t="shared" ref="M142:M147" si="37">IFERROR(G142/G$198,0)</f>
        <v>5.1958777745748055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'[4]Sch C'!D151</f>
        <v>17728</v>
      </c>
      <c r="D143" s="273">
        <f>'[4]Sch C'!F151</f>
        <v>0</v>
      </c>
      <c r="E143" s="259">
        <f t="shared" si="34"/>
        <v>17728</v>
      </c>
      <c r="F143" s="183"/>
      <c r="G143" s="183">
        <f t="shared" si="35"/>
        <v>17728</v>
      </c>
      <c r="H143" s="181">
        <f t="shared" si="36"/>
        <v>5.9221963437920497E-3</v>
      </c>
      <c r="J143" s="136"/>
      <c r="K143" s="136"/>
      <c r="M143" s="237">
        <f t="shared" si="37"/>
        <v>0.85173440953204571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'[4]Sch C'!D152</f>
        <v>5083</v>
      </c>
      <c r="D144" s="273">
        <f>'[4]Sch C'!F152</f>
        <v>0</v>
      </c>
      <c r="E144" s="259">
        <f t="shared" si="34"/>
        <v>5083</v>
      </c>
      <c r="F144" s="183"/>
      <c r="G144" s="183">
        <f t="shared" si="35"/>
        <v>5083</v>
      </c>
      <c r="H144" s="181">
        <f t="shared" si="36"/>
        <v>1.6980214358920909E-3</v>
      </c>
      <c r="J144" s="136"/>
      <c r="K144" s="136"/>
      <c r="M144" s="237">
        <f t="shared" si="37"/>
        <v>0.244210627462285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'[4]Sch C'!D153</f>
        <v>1826</v>
      </c>
      <c r="D145" s="273">
        <f>'[4]Sch C'!F153</f>
        <v>0</v>
      </c>
      <c r="E145" s="259">
        <f t="shared" si="34"/>
        <v>1826</v>
      </c>
      <c r="F145" s="183"/>
      <c r="G145" s="183">
        <f t="shared" si="35"/>
        <v>1826</v>
      </c>
      <c r="H145" s="181">
        <f t="shared" si="36"/>
        <v>6.0999156835312969E-4</v>
      </c>
      <c r="J145" s="136"/>
      <c r="K145" s="136"/>
      <c r="M145" s="237">
        <f t="shared" si="37"/>
        <v>8.7729412895166711E-2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'[4]Sch C'!D154</f>
        <v>0</v>
      </c>
      <c r="D146" s="273">
        <f>'[4]Sch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132784</v>
      </c>
      <c r="D147" s="273">
        <f>SUM(D142:D146)</f>
        <v>0</v>
      </c>
      <c r="E147" s="183">
        <f>SUM(E142:E146)</f>
        <v>132784</v>
      </c>
      <c r="F147" s="183">
        <f>SUM(F142:F146)</f>
        <v>0</v>
      </c>
      <c r="G147" s="183">
        <f t="shared" si="35"/>
        <v>132784</v>
      </c>
      <c r="H147" s="204">
        <f t="shared" si="36"/>
        <v>4.4357678210406336E-2</v>
      </c>
      <c r="J147" s="136"/>
      <c r="K147" s="136"/>
      <c r="M147" s="237">
        <f t="shared" si="37"/>
        <v>6.3795522244643026</v>
      </c>
      <c r="N147" s="243">
        <f>SUMMARY!M147</f>
        <v>3.5319826687546212</v>
      </c>
      <c r="O147" s="238">
        <f>M147/N147-1</f>
        <v>0.80622410208873863</v>
      </c>
      <c r="P147" s="178">
        <f>IF(O147&gt;=0.2,0.3,0)</f>
        <v>0.3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'[4]Sch C'!D158</f>
        <v>716015</v>
      </c>
      <c r="D150" s="273">
        <f>'[4]Sch C'!F158</f>
        <v>0</v>
      </c>
      <c r="E150" s="259">
        <f t="shared" ref="E150:E163" si="38">SUM(C150:D150)</f>
        <v>716015</v>
      </c>
      <c r="F150" s="183"/>
      <c r="G150" s="183">
        <f>IF(ISERROR(E150+F150),"",(E150+F150))</f>
        <v>716015</v>
      </c>
      <c r="H150" s="181">
        <f>IF(ISERROR(G150/$G$183),"",(G150/$G$183))</f>
        <v>0.23919118993119723</v>
      </c>
      <c r="J150" s="261">
        <v>63756</v>
      </c>
      <c r="K150" s="261">
        <v>67204</v>
      </c>
      <c r="M150" s="237">
        <f t="shared" ref="M150:M164" si="39">IFERROR(G150/G$198,0)</f>
        <v>34.400643797444026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'[4]Sch C'!D159</f>
        <v>108112</v>
      </c>
      <c r="D151" s="273">
        <f>'[4]Sch C'!F159</f>
        <v>0</v>
      </c>
      <c r="E151" s="259">
        <f t="shared" si="38"/>
        <v>108112</v>
      </c>
      <c r="F151" s="183"/>
      <c r="G151" s="183">
        <f>IF(ISERROR(E151+F151),"",(E151+F151))</f>
        <v>108112</v>
      </c>
      <c r="H151" s="181">
        <f>IF(ISERROR(G151/$G$183),"",(G151/$G$183))</f>
        <v>3.6115776800544112E-2</v>
      </c>
      <c r="J151" s="136"/>
      <c r="K151" s="136"/>
      <c r="M151" s="237">
        <f t="shared" si="39"/>
        <v>5.1941962140866726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'[4]Sch C'!D160</f>
        <v>356</v>
      </c>
      <c r="D152" s="273">
        <f>'[4]Sch C'!F160</f>
        <v>0</v>
      </c>
      <c r="E152" s="259">
        <f t="shared" si="38"/>
        <v>356</v>
      </c>
      <c r="F152" s="183"/>
      <c r="G152" s="183">
        <f t="shared" ref="G152:G163" si="40">IF(ISERROR(E152+F152),"",(E152+F152))</f>
        <v>356</v>
      </c>
      <c r="H152" s="181">
        <f t="shared" ref="H152:H163" si="41">IF(ISERROR(G152/$G$183),"",(G152/$G$183))</f>
        <v>1.1892497170521038E-4</v>
      </c>
      <c r="J152" s="136"/>
      <c r="K152" s="136"/>
      <c r="M152" s="237">
        <f t="shared" si="39"/>
        <v>1.7103872393581243E-2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'[4]Sch C'!D161</f>
        <v>27547</v>
      </c>
      <c r="D153" s="273">
        <f>'[4]Sch C'!F161</f>
        <v>0</v>
      </c>
      <c r="E153" s="259">
        <f t="shared" si="38"/>
        <v>27547</v>
      </c>
      <c r="F153" s="183"/>
      <c r="G153" s="183">
        <f t="shared" si="40"/>
        <v>27547</v>
      </c>
      <c r="H153" s="181">
        <f t="shared" si="41"/>
        <v>9.2023207740545791E-3</v>
      </c>
      <c r="J153" s="206"/>
      <c r="K153" s="206"/>
      <c r="M153" s="237">
        <f t="shared" si="39"/>
        <v>1.3234841933314117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'[4]Sch C'!D162</f>
        <v>9660</v>
      </c>
      <c r="D154" s="273">
        <f>'[4]Sch C'!F162</f>
        <v>0</v>
      </c>
      <c r="E154" s="259">
        <f t="shared" si="38"/>
        <v>9660</v>
      </c>
      <c r="F154" s="183"/>
      <c r="G154" s="183">
        <f t="shared" si="40"/>
        <v>9660</v>
      </c>
      <c r="H154" s="181">
        <f t="shared" si="41"/>
        <v>3.2270090636863269E-3</v>
      </c>
      <c r="J154" s="206"/>
      <c r="K154" s="206"/>
      <c r="M154" s="237">
        <f t="shared" si="39"/>
        <v>0.46411069472470451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'[4]Sch C'!D163</f>
        <v>4130</v>
      </c>
      <c r="D155" s="273">
        <f>'[4]Sch C'!F163</f>
        <v>0</v>
      </c>
      <c r="E155" s="259">
        <f t="shared" si="38"/>
        <v>4130</v>
      </c>
      <c r="F155" s="183"/>
      <c r="G155" s="183">
        <f t="shared" si="40"/>
        <v>4130</v>
      </c>
      <c r="H155" s="181">
        <f t="shared" si="41"/>
        <v>1.3796632953441542E-3</v>
      </c>
      <c r="J155" s="206"/>
      <c r="K155" s="206"/>
      <c r="M155" s="237">
        <f t="shared" si="39"/>
        <v>0.19842413759969252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'[4]Sch C'!D164</f>
        <v>1424</v>
      </c>
      <c r="D156" s="273">
        <f>'[4]Sch C'!F164</f>
        <v>0</v>
      </c>
      <c r="E156" s="259">
        <f t="shared" si="38"/>
        <v>1424</v>
      </c>
      <c r="F156" s="183"/>
      <c r="G156" s="183">
        <f t="shared" si="40"/>
        <v>1424</v>
      </c>
      <c r="H156" s="181">
        <f t="shared" si="41"/>
        <v>4.7569988682084153E-4</v>
      </c>
      <c r="J156" s="206"/>
      <c r="K156" s="206"/>
      <c r="M156" s="237">
        <f t="shared" si="39"/>
        <v>6.8415489574324972E-2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'[4]Sch C'!D165</f>
        <v>8300</v>
      </c>
      <c r="D157" s="273">
        <f>'[4]Sch C'!F165</f>
        <v>0</v>
      </c>
      <c r="E157" s="259">
        <f t="shared" si="38"/>
        <v>8300</v>
      </c>
      <c r="F157" s="183"/>
      <c r="G157" s="183">
        <f t="shared" si="40"/>
        <v>8300</v>
      </c>
      <c r="H157" s="181">
        <f t="shared" si="41"/>
        <v>2.7726889470596804E-3</v>
      </c>
      <c r="J157" s="206"/>
      <c r="K157" s="206"/>
      <c r="M157" s="237">
        <f t="shared" si="39"/>
        <v>0.39877005861439418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'[4]Sch C'!D166</f>
        <v>4944</v>
      </c>
      <c r="D158" s="273">
        <f>'[4]Sch C'!F166</f>
        <v>0</v>
      </c>
      <c r="E158" s="259">
        <f t="shared" si="38"/>
        <v>4944</v>
      </c>
      <c r="F158" s="183"/>
      <c r="G158" s="183">
        <f t="shared" si="40"/>
        <v>4944</v>
      </c>
      <c r="H158" s="181">
        <f t="shared" si="41"/>
        <v>1.6515872475015734E-3</v>
      </c>
      <c r="J158" s="206"/>
      <c r="K158" s="206"/>
      <c r="M158" s="237">
        <f t="shared" si="39"/>
        <v>0.23753243009512828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'[4]Sch C'!D167</f>
        <v>282969</v>
      </c>
      <c r="D159" s="273">
        <f>'[4]Sch C'!F167</f>
        <v>0</v>
      </c>
      <c r="E159" s="259">
        <f t="shared" si="38"/>
        <v>282969</v>
      </c>
      <c r="F159" s="183"/>
      <c r="G159" s="183">
        <f t="shared" si="40"/>
        <v>282969</v>
      </c>
      <c r="H159" s="181">
        <f t="shared" si="41"/>
        <v>9.452831550126875E-2</v>
      </c>
      <c r="J159" s="206"/>
      <c r="K159" s="206"/>
      <c r="M159" s="237">
        <f t="shared" si="39"/>
        <v>13.595128279042951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'[4]Sch C'!D168</f>
        <v>0</v>
      </c>
      <c r="D160" s="273">
        <f>'[4]Sch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'[4]Sch C'!D169</f>
        <v>0</v>
      </c>
      <c r="D161" s="273">
        <f>'[4]Sch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'[4]Sch C'!D170</f>
        <v>16438</v>
      </c>
      <c r="D162" s="273">
        <f>'[4]Sch C'!F170</f>
        <v>0</v>
      </c>
      <c r="E162" s="259">
        <f t="shared" si="38"/>
        <v>16438</v>
      </c>
      <c r="F162" s="183"/>
      <c r="G162" s="183">
        <f t="shared" si="40"/>
        <v>16438</v>
      </c>
      <c r="H162" s="181">
        <f t="shared" si="41"/>
        <v>5.4912603508153043E-3</v>
      </c>
      <c r="J162" s="136"/>
      <c r="K162" s="136"/>
      <c r="M162" s="237">
        <f t="shared" si="39"/>
        <v>0.78975689439800134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'[4]Sch C'!D171</f>
        <v>0</v>
      </c>
      <c r="D163" s="273">
        <f>'[4]Sch C'!F171</f>
        <v>0</v>
      </c>
      <c r="E163" s="259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1179895</v>
      </c>
      <c r="D164" s="273">
        <f>SUM(D150:D163)</f>
        <v>0</v>
      </c>
      <c r="E164" s="183">
        <f>SUM(E150:E163)</f>
        <v>1179895</v>
      </c>
      <c r="F164" s="183">
        <f>SUM(F150:F163)</f>
        <v>0</v>
      </c>
      <c r="G164" s="183">
        <f>IF(ISERROR(E164+F164),"",(E164+F164))</f>
        <v>1179895</v>
      </c>
      <c r="H164" s="181">
        <f>IF(ISERROR(G164/$G$183),"",(G164/$G$183))</f>
        <v>0.39415443676999778</v>
      </c>
      <c r="J164" s="136"/>
      <c r="K164" s="136"/>
      <c r="M164" s="237">
        <f t="shared" si="39"/>
        <v>56.687566061304892</v>
      </c>
      <c r="N164" s="243">
        <f>SUMMARY!M164</f>
        <v>48.166333206280392</v>
      </c>
      <c r="O164" s="238">
        <f>M164/N164-1</f>
        <v>0.17691263353037257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'[4]Sch C'!D186</f>
        <v>0</v>
      </c>
      <c r="D167" s="273">
        <f>'[4]Sch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'[4]Sch C'!D187</f>
        <v>0</v>
      </c>
      <c r="D168" s="273">
        <f>'[4]Sch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'[4]Sch C'!D188</f>
        <v>0</v>
      </c>
      <c r="D169" s="273">
        <f>'[4]Sch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'[4]Sch C'!D189</f>
        <v>0</v>
      </c>
      <c r="D170" s="273">
        <f>'[4]Sch C'!F189</f>
        <v>0</v>
      </c>
      <c r="E170" s="259">
        <f t="shared" si="42"/>
        <v>0</v>
      </c>
      <c r="F170" s="183"/>
      <c r="G170" s="183">
        <f>IF(ISERROR(E170+F170),"",(E170+F170))</f>
        <v>0</v>
      </c>
      <c r="H170" s="181">
        <f>IF(ISERROR(G170/$G$183),"",(G170/$G$183))</f>
        <v>0</v>
      </c>
      <c r="I170" s="215"/>
      <c r="J170" s="211"/>
      <c r="K170" s="42"/>
      <c r="M170" s="237">
        <f t="shared" si="43"/>
        <v>0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'[4]Sch C'!D190</f>
        <v>0</v>
      </c>
      <c r="D171" s="273">
        <f>'[4]Sch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'[4]Sch C'!D191</f>
        <v>0</v>
      </c>
      <c r="D172" s="273">
        <f>'[4]Sch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'[4]Sch C'!D192</f>
        <v>0</v>
      </c>
      <c r="D173" s="273">
        <f>'[4]Sch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'[4]Sch C'!D193</f>
        <v>0</v>
      </c>
      <c r="D174" s="273">
        <f>'[4]Sch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'[4]Sch C'!D194</f>
        <v>0</v>
      </c>
      <c r="D175" s="273">
        <f>'[4]Sch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'[4]Sch C'!D195</f>
        <v>0</v>
      </c>
      <c r="D176" s="273">
        <f>'[4]Sch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'[4]Sch C'!D196</f>
        <v>0</v>
      </c>
      <c r="D177" s="273">
        <f>'[4]Sch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'[4]Sch C'!D197</f>
        <v>0</v>
      </c>
      <c r="D178" s="273">
        <f>'[4]Sch C'!F197</f>
        <v>0</v>
      </c>
      <c r="E178" s="259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'[4]Sch C'!D198</f>
        <v>0</v>
      </c>
      <c r="D179" s="273">
        <f>'[4]Sch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'[4]Sch C'!D199</f>
        <v>0</v>
      </c>
      <c r="D180" s="273">
        <f>'[4]Sch C'!F199</f>
        <v>0</v>
      </c>
      <c r="E180" s="259">
        <f t="shared" si="42"/>
        <v>0</v>
      </c>
      <c r="F180" s="183"/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0</v>
      </c>
      <c r="D181" s="273">
        <f>SUM(D167:D180)</f>
        <v>0</v>
      </c>
      <c r="E181" s="218">
        <f>SUM(E167:E180)</f>
        <v>0</v>
      </c>
      <c r="F181" s="218">
        <f>SUM(F167:F180)</f>
        <v>0</v>
      </c>
      <c r="G181" s="183">
        <f t="shared" si="44"/>
        <v>0</v>
      </c>
      <c r="H181" s="181">
        <f>IF(ISERROR(G181/$G$183),"",(G181/$G$183))</f>
        <v>0</v>
      </c>
      <c r="I181" s="219"/>
      <c r="J181" s="211"/>
      <c r="K181" s="211"/>
      <c r="M181" s="237">
        <f t="shared" si="43"/>
        <v>0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3351393</v>
      </c>
      <c r="D183" s="273">
        <f>SUM(D21:D181)/2</f>
        <v>-350709</v>
      </c>
      <c r="E183" s="258">
        <f>SUM(E21:E181)/2</f>
        <v>3000684</v>
      </c>
      <c r="F183" s="179">
        <f>SUM(F21:F181)/2</f>
        <v>-7200</v>
      </c>
      <c r="G183" s="179">
        <f>SUM(G21:G181)/2</f>
        <v>2993484</v>
      </c>
      <c r="H183" s="181">
        <f>IF(ISERROR(G183/$G$183),"",(G183/$G$183))</f>
        <v>1</v>
      </c>
      <c r="J183" s="261">
        <f>SUM(J21:J181)</f>
        <v>117631</v>
      </c>
      <c r="K183" s="261">
        <f>SUM(K21:K181)</f>
        <v>125343</v>
      </c>
      <c r="M183" s="237">
        <f>IFERROR(G183/G$198,0)</f>
        <v>143.82069760737966</v>
      </c>
      <c r="N183" s="243">
        <f>SUMMARY!M183</f>
        <v>169.52310231129192</v>
      </c>
      <c r="P183" s="178">
        <f>SUM(P57:P181)</f>
        <v>0.5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'[4]Sch C'!D204</f>
        <v>3351393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282521</v>
      </c>
      <c r="D190" s="273">
        <f>D17-D183</f>
        <v>350709</v>
      </c>
      <c r="E190" s="259">
        <f>E17-E183</f>
        <v>633230</v>
      </c>
      <c r="F190" s="180">
        <f>F17-F183</f>
        <v>7200</v>
      </c>
      <c r="G190" s="180">
        <f>G17-G183</f>
        <v>640430</v>
      </c>
      <c r="J190" s="136"/>
      <c r="K190" s="136"/>
      <c r="M190" s="237">
        <f>IFERROR(G190/G$198,0)</f>
        <v>30.769193811857402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'[4]Sch D'!C9</f>
        <v>20814</v>
      </c>
      <c r="D194" s="313"/>
      <c r="E194" s="264">
        <f>C194+D194</f>
        <v>20814</v>
      </c>
      <c r="F194" s="224"/>
      <c r="G194" s="225">
        <f>E194+F194</f>
        <v>20814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'[4]Sch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'[4]Sch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'[4]Sch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20814</v>
      </c>
      <c r="D198" s="313"/>
      <c r="E198" s="265">
        <f>SUM(E194:E197)</f>
        <v>20814</v>
      </c>
      <c r="F198" s="229">
        <f>SUM(F194:F197)</f>
        <v>0</v>
      </c>
      <c r="G198" s="229">
        <f>SUM(G194:G197)</f>
        <v>20814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'[4]Sch D'!G22</f>
        <v>60</v>
      </c>
      <c r="D201" s="312"/>
      <c r="E201" s="264">
        <f>C201+D201</f>
        <v>60</v>
      </c>
      <c r="F201" s="224"/>
      <c r="G201" s="231">
        <f>E201+F201</f>
        <v>60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'[4]Sch D'!G24</f>
        <v>0</v>
      </c>
      <c r="D202" s="312"/>
      <c r="E202" s="264">
        <f>C202+D202</f>
        <v>0</v>
      </c>
      <c r="F202" s="226">
        <f>[4]Summary!$F$202</f>
        <v>60</v>
      </c>
      <c r="G202" s="231">
        <f>E202+F202</f>
        <v>60</v>
      </c>
      <c r="H202" s="43" t="s">
        <v>410</v>
      </c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'[4]Sch D'!G28</f>
        <v>21960</v>
      </c>
      <c r="D205" s="283"/>
      <c r="E205" s="260">
        <f>E201*E203</f>
        <v>21960</v>
      </c>
      <c r="F205" s="260">
        <f>G201*F203</f>
        <v>0</v>
      </c>
      <c r="G205" s="224">
        <f>G201*G203</f>
        <v>21960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'[4]Sch D'!G30</f>
        <v>0.94781420765027324</v>
      </c>
      <c r="D206" s="36"/>
      <c r="E206" s="266">
        <f>IFERROR(E198/E205,"0")</f>
        <v>0.94781420765027324</v>
      </c>
      <c r="F206" s="337" t="str">
        <f>IFERROR(F198/F205,"")</f>
        <v/>
      </c>
      <c r="G206" s="233">
        <f>G198/G205</f>
        <v>0.94781420765027324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'[4]Sch D'!G32</f>
        <v>0.94781420765027324</v>
      </c>
      <c r="D207" s="36"/>
      <c r="E207" s="266">
        <f>IFERROR((E194+E195)/E205,"0")</f>
        <v>0.94781420765027324</v>
      </c>
      <c r="F207" s="337" t="str">
        <f>IFERROR(((F194+F195)/F205),"")</f>
        <v/>
      </c>
      <c r="G207" s="233">
        <f>(G194+G195)/G205</f>
        <v>0.94781420765027324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'[4]Sch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67"/>
    </row>
    <row r="211" spans="1:11">
      <c r="F211" s="51" t="s">
        <v>306</v>
      </c>
      <c r="G211" s="234"/>
    </row>
    <row r="212" spans="1:11">
      <c r="F212" s="51" t="s">
        <v>307</v>
      </c>
      <c r="G212" s="273"/>
    </row>
    <row r="213" spans="1:11">
      <c r="F213" s="51" t="s">
        <v>308</v>
      </c>
      <c r="G213" s="273"/>
    </row>
  </sheetData>
  <phoneticPr fontId="0" type="noConversion"/>
  <conditionalFormatting sqref="C2">
    <cfRule type="cellIs" dxfId="34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P213"/>
  <sheetViews>
    <sheetView showGridLines="0" topLeftCell="A196" zoomScaleNormal="100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5" style="52" customWidth="1"/>
    <col min="6" max="6" width="15.3984375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400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285" t="s">
        <v>390</v>
      </c>
      <c r="G4" s="167"/>
    </row>
    <row r="5" spans="1:16">
      <c r="A5" s="24"/>
      <c r="B5" s="164"/>
      <c r="C5" s="168"/>
      <c r="D5" s="25"/>
      <c r="E5" s="163"/>
      <c r="F5" s="285" t="s">
        <v>399</v>
      </c>
      <c r="G5" s="167"/>
    </row>
    <row r="6" spans="1:16">
      <c r="A6" s="24"/>
      <c r="B6" s="164"/>
      <c r="C6" s="168"/>
      <c r="D6" s="25"/>
      <c r="F6" s="285" t="s">
        <v>391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324" t="s">
        <v>393</v>
      </c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325" t="s">
        <v>394</v>
      </c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'[5]Sch B'!E10</f>
        <v>1301990</v>
      </c>
      <c r="D12" s="273">
        <f>'[5]Sch B'!G10</f>
        <v>0</v>
      </c>
      <c r="E12" s="259">
        <f>SUM(C12:D12)</f>
        <v>1301990</v>
      </c>
      <c r="F12" s="180">
        <v>2517400</v>
      </c>
      <c r="G12" s="180">
        <f>IF(ISERROR(E12+F12)," ",(E12+F12))</f>
        <v>3819390</v>
      </c>
      <c r="H12" s="181">
        <f t="shared" ref="H12:H17" si="0">IF(ISERROR(G12/$G$17),"",(G12/$G$17))</f>
        <v>0.93598850167683878</v>
      </c>
      <c r="J12" s="246" t="s">
        <v>346</v>
      </c>
      <c r="K12" s="247">
        <f>G17</f>
        <v>4080595</v>
      </c>
      <c r="M12" s="237">
        <f>IFERROR(G12/G$194,0)</f>
        <v>173.15999455955026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'[5]Sch B'!E15</f>
        <v>54156</v>
      </c>
      <c r="D13" s="273">
        <f>'[5]Sch B'!G15</f>
        <v>0</v>
      </c>
      <c r="E13" s="259">
        <f t="shared" ref="E13:E16" si="1">SUM(C13:D13)</f>
        <v>54156</v>
      </c>
      <c r="F13" s="183">
        <v>178862</v>
      </c>
      <c r="G13" s="183">
        <f>IF(ISERROR(E13+F13),"",(E13+F13))</f>
        <v>233018</v>
      </c>
      <c r="H13" s="184">
        <f t="shared" si="0"/>
        <v>5.7103927245904088E-2</v>
      </c>
      <c r="J13" s="248" t="s">
        <v>347</v>
      </c>
      <c r="K13" s="249">
        <f>G183</f>
        <v>3851152.66</v>
      </c>
      <c r="M13" s="237">
        <f>IFERROR(G13/G$195,0)</f>
        <v>215.15974145891045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'[5]Sch B'!E20</f>
        <v>0</v>
      </c>
      <c r="D14" s="273">
        <f>'[5]Sch B'!G20</f>
        <v>0</v>
      </c>
      <c r="E14" s="259">
        <f t="shared" si="1"/>
        <v>0</v>
      </c>
      <c r="F14" s="183">
        <v>0</v>
      </c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23140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'[5]Sch B'!E25</f>
        <v>0</v>
      </c>
      <c r="D15" s="273">
        <f>'[5]Sch B'!G25</f>
        <v>0</v>
      </c>
      <c r="E15" s="259">
        <f t="shared" si="1"/>
        <v>0</v>
      </c>
      <c r="F15" s="183">
        <v>0</v>
      </c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66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'[5]Sch B'!E40</f>
        <v>0</v>
      </c>
      <c r="D16" s="273">
        <f>'[5]Sch B'!G40</f>
        <v>3477</v>
      </c>
      <c r="E16" s="259">
        <f t="shared" si="1"/>
        <v>3477</v>
      </c>
      <c r="F16" s="183">
        <v>24710</v>
      </c>
      <c r="G16" s="183">
        <f>IF(ISERROR(E16+F16),"",(E16+F16))</f>
        <v>28187</v>
      </c>
      <c r="H16" s="184">
        <f t="shared" si="0"/>
        <v>6.907571077257116E-3</v>
      </c>
      <c r="J16" s="248" t="s">
        <v>350</v>
      </c>
      <c r="K16" s="249">
        <f>G205</f>
        <v>24156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1356146</v>
      </c>
      <c r="D17" s="273">
        <f>SUM(D12:D16)</f>
        <v>3477</v>
      </c>
      <c r="E17" s="183">
        <f>SUM(E12:E16)</f>
        <v>1359623</v>
      </c>
      <c r="F17" s="183">
        <f>SUM(F12:F16)</f>
        <v>2720972</v>
      </c>
      <c r="G17" s="183">
        <f>IF(ISERROR(E17+F17),"",(E17+F17))</f>
        <v>4080595</v>
      </c>
      <c r="H17" s="184">
        <f t="shared" si="0"/>
        <v>1</v>
      </c>
      <c r="J17" s="248"/>
      <c r="K17" s="249"/>
      <c r="M17" s="237">
        <f>IFERROR(G17/G$198,0)</f>
        <v>176.34377700950733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112452.83666666664</v>
      </c>
    </row>
    <row r="19" spans="1:14">
      <c r="A19" s="31" t="s">
        <v>336</v>
      </c>
      <c r="B19" s="187" t="s">
        <v>157</v>
      </c>
      <c r="C19" s="168"/>
      <c r="D19" s="25"/>
      <c r="F19" s="324" t="s">
        <v>393</v>
      </c>
      <c r="G19" s="25"/>
      <c r="J19" s="250" t="s">
        <v>309</v>
      </c>
      <c r="K19" s="251">
        <f>K183</f>
        <v>117966.13666666666</v>
      </c>
    </row>
    <row r="20" spans="1:14">
      <c r="A20" s="188" t="s">
        <v>197</v>
      </c>
      <c r="B20" s="164" t="s">
        <v>19</v>
      </c>
      <c r="F20" s="325" t="s">
        <v>394</v>
      </c>
    </row>
    <row r="21" spans="1:14" s="43" customFormat="1">
      <c r="A21" s="130" t="s">
        <v>198</v>
      </c>
      <c r="B21" s="116" t="s">
        <v>20</v>
      </c>
      <c r="C21" s="273">
        <f>'[5]Sch C'!D10</f>
        <v>20174</v>
      </c>
      <c r="D21" s="273">
        <f>'[5]Sch C'!F10</f>
        <v>0</v>
      </c>
      <c r="E21" s="259">
        <f t="shared" ref="E21:E56" si="2">SUM(C21:D21)</f>
        <v>20174</v>
      </c>
      <c r="F21" s="180">
        <v>38514</v>
      </c>
      <c r="G21" s="180">
        <f t="shared" ref="G21:G57" si="3">IF(ISERROR(E21+F21),"",(E21+F21))</f>
        <v>58688</v>
      </c>
      <c r="H21" s="181">
        <f>IF(ISERROR(G21/$G$183),"",(G21/$G$183))</f>
        <v>1.5239073903655639E-2</v>
      </c>
      <c r="J21" s="261">
        <f>680+1048</f>
        <v>1728</v>
      </c>
      <c r="K21" s="261">
        <f>754.666666666667+1200</f>
        <v>1954.666666666667</v>
      </c>
      <c r="M21" s="237">
        <f>IFERROR(G21/G$198,0)</f>
        <v>2.5362143474503025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'[5]Sch C'!D11</f>
        <v>0</v>
      </c>
      <c r="D22" s="273">
        <f>'[5]Sch C'!F11</f>
        <v>0</v>
      </c>
      <c r="E22" s="259">
        <f t="shared" si="2"/>
        <v>0</v>
      </c>
      <c r="F22" s="183">
        <v>0</v>
      </c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'[5]Sch C'!D12</f>
        <v>9312</v>
      </c>
      <c r="D23" s="273">
        <f>'[5]Sch C'!F12</f>
        <v>0</v>
      </c>
      <c r="E23" s="259">
        <f t="shared" si="2"/>
        <v>9312</v>
      </c>
      <c r="F23" s="183">
        <v>27314</v>
      </c>
      <c r="G23" s="183">
        <f t="shared" si="3"/>
        <v>36626</v>
      </c>
      <c r="H23" s="181">
        <f t="shared" si="4"/>
        <v>9.5103994137692785E-3</v>
      </c>
      <c r="J23" s="189">
        <f>674.666666666667+1356</f>
        <v>2030.666666666667</v>
      </c>
      <c r="K23" s="189">
        <f>739.793333333333+1521</f>
        <v>2260.7933333333331</v>
      </c>
      <c r="M23" s="237">
        <f t="shared" si="5"/>
        <v>1.5828003457216941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'[5]Sch C'!D13</f>
        <v>54333</v>
      </c>
      <c r="D24" s="273">
        <f>'[5]Sch C'!F13</f>
        <v>-51336</v>
      </c>
      <c r="E24" s="259">
        <f t="shared" si="2"/>
        <v>2997</v>
      </c>
      <c r="F24" s="183">
        <v>11726</v>
      </c>
      <c r="G24" s="183">
        <f t="shared" si="3"/>
        <v>14723</v>
      </c>
      <c r="H24" s="181">
        <f t="shared" si="4"/>
        <v>3.8230112643729891E-3</v>
      </c>
      <c r="J24" s="136"/>
      <c r="K24" s="136"/>
      <c r="M24" s="237">
        <f t="shared" si="5"/>
        <v>0.63625756266205702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'[5]Sch C'!D14</f>
        <v>0</v>
      </c>
      <c r="D25" s="273">
        <f>'[5]Sch C'!F14</f>
        <v>0</v>
      </c>
      <c r="E25" s="259">
        <f t="shared" si="2"/>
        <v>0</v>
      </c>
      <c r="F25" s="183">
        <v>0</v>
      </c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'[5]Sch C'!D15</f>
        <v>80760</v>
      </c>
      <c r="D26" s="273">
        <f>'[5]Sch C'!F15</f>
        <v>0</v>
      </c>
      <c r="E26" s="259">
        <f t="shared" si="2"/>
        <v>80760</v>
      </c>
      <c r="F26" s="183">
        <v>165407</v>
      </c>
      <c r="G26" s="183">
        <f t="shared" si="3"/>
        <v>246167</v>
      </c>
      <c r="H26" s="181">
        <f t="shared" si="4"/>
        <v>6.3920343266787041E-2</v>
      </c>
      <c r="J26" s="136"/>
      <c r="K26" s="136"/>
      <c r="M26" s="237">
        <f t="shared" si="5"/>
        <v>10.638159031979256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'[5]Sch C'!D16</f>
        <v>280614</v>
      </c>
      <c r="D27" s="273">
        <f>'[5]Sch C'!F16</f>
        <v>5793.42</v>
      </c>
      <c r="E27" s="259">
        <f t="shared" si="2"/>
        <v>286407.42</v>
      </c>
      <c r="F27" s="183">
        <v>151890</v>
      </c>
      <c r="G27" s="183">
        <f t="shared" si="3"/>
        <v>438297.42</v>
      </c>
      <c r="H27" s="181">
        <f t="shared" si="4"/>
        <v>0.11380941206314059</v>
      </c>
      <c r="J27" s="136"/>
      <c r="K27" s="136"/>
      <c r="M27" s="237">
        <f t="shared" si="5"/>
        <v>18.9411158167675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'[5]Sch C'!D17</f>
        <v>0</v>
      </c>
      <c r="D28" s="273">
        <f>'[5]Sch C'!F17</f>
        <v>0</v>
      </c>
      <c r="E28" s="259">
        <f t="shared" si="2"/>
        <v>0</v>
      </c>
      <c r="F28" s="183">
        <v>361</v>
      </c>
      <c r="G28" s="183">
        <f t="shared" si="3"/>
        <v>361</v>
      </c>
      <c r="H28" s="181">
        <f t="shared" si="4"/>
        <v>9.3738169288775993E-5</v>
      </c>
      <c r="J28" s="136"/>
      <c r="K28" s="136"/>
      <c r="M28" s="237">
        <f t="shared" si="5"/>
        <v>1.5600691443388073E-2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'[5]Sch C'!D18</f>
        <v>3580</v>
      </c>
      <c r="D29" s="273">
        <f>'[5]Sch C'!F18</f>
        <v>0</v>
      </c>
      <c r="E29" s="259">
        <f t="shared" si="2"/>
        <v>3580</v>
      </c>
      <c r="F29" s="183">
        <v>5012</v>
      </c>
      <c r="G29" s="183">
        <f t="shared" si="3"/>
        <v>8592</v>
      </c>
      <c r="H29" s="181">
        <f t="shared" si="4"/>
        <v>2.23102036157663E-3</v>
      </c>
      <c r="J29" s="136"/>
      <c r="K29" s="136"/>
      <c r="M29" s="237">
        <f t="shared" si="5"/>
        <v>0.37130509939498701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'[5]Sch C'!D19</f>
        <v>2720</v>
      </c>
      <c r="D30" s="273">
        <f>'[5]Sch C'!F19</f>
        <v>0</v>
      </c>
      <c r="E30" s="259">
        <f t="shared" si="2"/>
        <v>2720</v>
      </c>
      <c r="F30" s="183">
        <v>8925</v>
      </c>
      <c r="G30" s="183">
        <f t="shared" si="3"/>
        <v>11645</v>
      </c>
      <c r="H30" s="181">
        <f t="shared" si="4"/>
        <v>3.0237700314897408E-3</v>
      </c>
      <c r="J30" s="136"/>
      <c r="K30" s="136"/>
      <c r="M30" s="237">
        <f t="shared" si="5"/>
        <v>0.50324114088159033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'[5]Sch C'!D20</f>
        <v>3764</v>
      </c>
      <c r="D31" s="273">
        <f>'[5]Sch C'!F20</f>
        <v>-2398.8200000000002</v>
      </c>
      <c r="E31" s="259">
        <f t="shared" si="2"/>
        <v>1365.1799999999998</v>
      </c>
      <c r="F31" s="183">
        <v>1269</v>
      </c>
      <c r="G31" s="183">
        <f t="shared" si="3"/>
        <v>2634.18</v>
      </c>
      <c r="H31" s="181">
        <f t="shared" si="4"/>
        <v>6.8399781378700262E-4</v>
      </c>
      <c r="J31" s="136"/>
      <c r="K31" s="136"/>
      <c r="M31" s="237">
        <f t="shared" si="5"/>
        <v>0.11383664649956785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'[5]Sch C'!D21</f>
        <v>0</v>
      </c>
      <c r="D32" s="273">
        <f>'[5]Sch C'!F21</f>
        <v>0</v>
      </c>
      <c r="E32" s="259">
        <f t="shared" si="2"/>
        <v>0</v>
      </c>
      <c r="F32" s="183">
        <v>0</v>
      </c>
      <c r="G32" s="183">
        <f t="shared" si="3"/>
        <v>0</v>
      </c>
      <c r="H32" s="181">
        <f t="shared" si="4"/>
        <v>0</v>
      </c>
      <c r="J32" s="136"/>
      <c r="K32" s="136"/>
      <c r="M32" s="237">
        <f t="shared" si="5"/>
        <v>0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'[5]Sch C'!D22</f>
        <v>0</v>
      </c>
      <c r="D33" s="273">
        <f>'[5]Sch C'!F22</f>
        <v>0</v>
      </c>
      <c r="E33" s="259">
        <f t="shared" si="2"/>
        <v>0</v>
      </c>
      <c r="F33" s="183">
        <v>0</v>
      </c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'[5]Sch C'!D23</f>
        <v>4383</v>
      </c>
      <c r="D34" s="273">
        <f>'[5]Sch C'!F23</f>
        <v>0</v>
      </c>
      <c r="E34" s="259">
        <f t="shared" si="2"/>
        <v>4383</v>
      </c>
      <c r="F34" s="183">
        <v>6539</v>
      </c>
      <c r="G34" s="183">
        <f t="shared" si="3"/>
        <v>10922</v>
      </c>
      <c r="H34" s="181">
        <f t="shared" si="4"/>
        <v>2.8360340303933834E-3</v>
      </c>
      <c r="J34" s="136"/>
      <c r="K34" s="136"/>
      <c r="M34" s="237">
        <f t="shared" si="5"/>
        <v>0.47199654278305964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'[5]Sch C'!D24</f>
        <v>0</v>
      </c>
      <c r="D35" s="273">
        <f>'[5]Sch C'!F24</f>
        <v>0</v>
      </c>
      <c r="E35" s="259">
        <f t="shared" si="2"/>
        <v>0</v>
      </c>
      <c r="F35" s="183">
        <v>0</v>
      </c>
      <c r="G35" s="183">
        <f t="shared" si="3"/>
        <v>0</v>
      </c>
      <c r="H35" s="181">
        <f t="shared" si="4"/>
        <v>0</v>
      </c>
      <c r="J35" s="136"/>
      <c r="K35" s="136"/>
      <c r="M35" s="237">
        <f t="shared" si="5"/>
        <v>0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'[5]Sch C'!D25</f>
        <v>2305</v>
      </c>
      <c r="D36" s="273">
        <f>'[5]Sch C'!F25</f>
        <v>-611</v>
      </c>
      <c r="E36" s="259">
        <f t="shared" si="2"/>
        <v>1694</v>
      </c>
      <c r="F36" s="183">
        <v>0</v>
      </c>
      <c r="G36" s="183">
        <f t="shared" si="3"/>
        <v>1694</v>
      </c>
      <c r="H36" s="181">
        <f t="shared" si="4"/>
        <v>4.3986830685647241E-4</v>
      </c>
      <c r="J36" s="136"/>
      <c r="K36" s="136"/>
      <c r="M36" s="237">
        <f t="shared" si="5"/>
        <v>7.3206568712186684E-2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'[5]Sch C'!D26</f>
        <v>65692</v>
      </c>
      <c r="D37" s="273">
        <f>'[5]Sch C'!F26</f>
        <v>0</v>
      </c>
      <c r="E37" s="259">
        <f t="shared" si="2"/>
        <v>65692</v>
      </c>
      <c r="F37" s="183">
        <v>130073</v>
      </c>
      <c r="G37" s="183">
        <f t="shared" si="3"/>
        <v>195765</v>
      </c>
      <c r="H37" s="181">
        <f t="shared" si="4"/>
        <v>5.0832832993953553E-2</v>
      </c>
      <c r="J37" s="136"/>
      <c r="K37" s="136"/>
      <c r="M37" s="237">
        <f t="shared" si="5"/>
        <v>8.4600259291270525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'[5]Sch C'!D27</f>
        <v>0</v>
      </c>
      <c r="D38" s="273">
        <f>'[5]Sch C'!F27</f>
        <v>0</v>
      </c>
      <c r="E38" s="259">
        <f t="shared" si="2"/>
        <v>0</v>
      </c>
      <c r="F38" s="183">
        <v>0</v>
      </c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'[5]Sch C'!D28</f>
        <v>0</v>
      </c>
      <c r="D39" s="273">
        <f>'[5]Sch C'!F28</f>
        <v>0</v>
      </c>
      <c r="E39" s="259">
        <f t="shared" si="2"/>
        <v>0</v>
      </c>
      <c r="F39" s="183">
        <v>0</v>
      </c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'[5]Sch C'!D29</f>
        <v>0</v>
      </c>
      <c r="D40" s="273">
        <f>'[5]Sch C'!F29</f>
        <v>0</v>
      </c>
      <c r="E40" s="259">
        <f t="shared" si="2"/>
        <v>0</v>
      </c>
      <c r="F40" s="183">
        <v>0</v>
      </c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'[5]Sch C'!D30</f>
        <v>0</v>
      </c>
      <c r="D41" s="273">
        <f>'[5]Sch C'!F30</f>
        <v>0</v>
      </c>
      <c r="E41" s="259">
        <f t="shared" si="2"/>
        <v>0</v>
      </c>
      <c r="F41" s="183">
        <v>0</v>
      </c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'[5]Sch C'!D31</f>
        <v>13585</v>
      </c>
      <c r="D42" s="273">
        <f>'[5]Sch C'!F31</f>
        <v>0</v>
      </c>
      <c r="E42" s="259">
        <f t="shared" si="2"/>
        <v>13585</v>
      </c>
      <c r="F42" s="183">
        <v>23303</v>
      </c>
      <c r="G42" s="183">
        <f t="shared" si="3"/>
        <v>36888</v>
      </c>
      <c r="H42" s="181">
        <f t="shared" si="4"/>
        <v>9.5784309936963134E-3</v>
      </c>
      <c r="J42" s="136"/>
      <c r="K42" s="136"/>
      <c r="M42" s="237">
        <f t="shared" si="5"/>
        <v>1.5941227312013828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'[5]Sch C'!D32</f>
        <v>0</v>
      </c>
      <c r="D43" s="273">
        <f>'[5]Sch C'!F32</f>
        <v>0</v>
      </c>
      <c r="E43" s="259">
        <f t="shared" si="2"/>
        <v>0</v>
      </c>
      <c r="F43" s="183">
        <v>5911</v>
      </c>
      <c r="G43" s="183">
        <f t="shared" si="3"/>
        <v>5911</v>
      </c>
      <c r="H43" s="181">
        <f t="shared" si="4"/>
        <v>1.5348651486591549E-3</v>
      </c>
      <c r="J43" s="136"/>
      <c r="K43" s="136"/>
      <c r="M43" s="237">
        <f t="shared" si="5"/>
        <v>0.25544511668107173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'[5]Sch C'!D33</f>
        <v>0</v>
      </c>
      <c r="D44" s="273">
        <f>'[5]Sch C'!F33</f>
        <v>0</v>
      </c>
      <c r="E44" s="259">
        <f t="shared" si="2"/>
        <v>0</v>
      </c>
      <c r="F44" s="183">
        <v>0</v>
      </c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'[5]Sch C'!D34</f>
        <v>0</v>
      </c>
      <c r="D45" s="273">
        <f>'[5]Sch C'!F34</f>
        <v>0</v>
      </c>
      <c r="E45" s="259">
        <f t="shared" si="2"/>
        <v>0</v>
      </c>
      <c r="F45" s="183">
        <v>0</v>
      </c>
      <c r="G45" s="183">
        <f t="shared" si="3"/>
        <v>0</v>
      </c>
      <c r="H45" s="181">
        <f t="shared" si="4"/>
        <v>0</v>
      </c>
      <c r="J45" s="136"/>
      <c r="K45" s="136"/>
      <c r="M45" s="237">
        <f t="shared" si="5"/>
        <v>0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'[5]Sch C'!D35</f>
        <v>0</v>
      </c>
      <c r="D46" s="273">
        <f>'[5]Sch C'!F35</f>
        <v>0</v>
      </c>
      <c r="E46" s="259">
        <f t="shared" si="2"/>
        <v>0</v>
      </c>
      <c r="F46" s="183">
        <v>0</v>
      </c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'[5]Sch C'!D36</f>
        <v>0</v>
      </c>
      <c r="D47" s="273">
        <f>'[5]Sch C'!F36</f>
        <v>0</v>
      </c>
      <c r="E47" s="259">
        <f t="shared" si="2"/>
        <v>0</v>
      </c>
      <c r="F47" s="183">
        <v>0</v>
      </c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'[5]Sch C'!D37</f>
        <v>0</v>
      </c>
      <c r="D48" s="273">
        <f>'[5]Sch C'!F37</f>
        <v>0</v>
      </c>
      <c r="E48" s="259">
        <f t="shared" si="2"/>
        <v>0</v>
      </c>
      <c r="F48" s="183">
        <v>0</v>
      </c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'[5]Sch C'!D38</f>
        <v>0</v>
      </c>
      <c r="D49" s="273">
        <f>'[5]Sch C'!F38</f>
        <v>0</v>
      </c>
      <c r="E49" s="259">
        <f t="shared" si="2"/>
        <v>0</v>
      </c>
      <c r="F49" s="183">
        <v>0</v>
      </c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'[5]Sch C'!D39</f>
        <v>260</v>
      </c>
      <c r="D50" s="273">
        <f>'[5]Sch C'!F39</f>
        <v>0</v>
      </c>
      <c r="E50" s="259">
        <f t="shared" si="2"/>
        <v>260</v>
      </c>
      <c r="F50" s="183">
        <v>0</v>
      </c>
      <c r="G50" s="183">
        <f t="shared" si="3"/>
        <v>260</v>
      </c>
      <c r="H50" s="181">
        <f t="shared" si="4"/>
        <v>6.7512254889423153E-5</v>
      </c>
      <c r="J50" s="136"/>
      <c r="K50" s="136"/>
      <c r="M50" s="237">
        <f t="shared" si="5"/>
        <v>1.1235955056179775E-2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'[5]Sch C'!D40</f>
        <v>0</v>
      </c>
      <c r="D51" s="273">
        <f>'[5]Sch C'!F40</f>
        <v>0</v>
      </c>
      <c r="E51" s="259">
        <f t="shared" si="2"/>
        <v>0</v>
      </c>
      <c r="F51" s="183">
        <v>0</v>
      </c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'[5]Sch C'!D41</f>
        <v>1569</v>
      </c>
      <c r="D52" s="273">
        <f>'[5]Sch C'!F41</f>
        <v>0</v>
      </c>
      <c r="E52" s="259">
        <f t="shared" si="2"/>
        <v>1569</v>
      </c>
      <c r="F52" s="183">
        <v>11894</v>
      </c>
      <c r="G52" s="183">
        <f t="shared" si="3"/>
        <v>13463</v>
      </c>
      <c r="H52" s="181">
        <f t="shared" si="4"/>
        <v>3.4958364906780919E-3</v>
      </c>
      <c r="J52" s="136"/>
      <c r="K52" s="136"/>
      <c r="M52" s="237">
        <f t="shared" si="5"/>
        <v>0.58180639585133964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'[5]Sch C'!D42</f>
        <v>0</v>
      </c>
      <c r="D53" s="273">
        <f>'[5]Sch C'!F42</f>
        <v>0</v>
      </c>
      <c r="E53" s="259">
        <f t="shared" si="2"/>
        <v>0</v>
      </c>
      <c r="F53" s="183">
        <v>0</v>
      </c>
      <c r="G53" s="183">
        <f t="shared" si="3"/>
        <v>0</v>
      </c>
      <c r="H53" s="181">
        <f t="shared" si="4"/>
        <v>0</v>
      </c>
      <c r="J53" s="136"/>
      <c r="K53" s="136"/>
      <c r="M53" s="237">
        <f t="shared" si="5"/>
        <v>0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'[5]Sch C'!D43</f>
        <v>1152</v>
      </c>
      <c r="D54" s="273">
        <f>'[5]Sch C'!F43</f>
        <v>0</v>
      </c>
      <c r="E54" s="259">
        <f t="shared" si="2"/>
        <v>1152</v>
      </c>
      <c r="F54" s="183">
        <v>3282</v>
      </c>
      <c r="G54" s="183">
        <f t="shared" si="3"/>
        <v>4434</v>
      </c>
      <c r="H54" s="181">
        <f t="shared" si="4"/>
        <v>1.1513436083834703E-3</v>
      </c>
      <c r="J54" s="136"/>
      <c r="K54" s="136"/>
      <c r="M54" s="237">
        <f t="shared" si="5"/>
        <v>0.1916162489196197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'[5]Sch C'!D44</f>
        <v>0</v>
      </c>
      <c r="D55" s="273">
        <f>'[5]Sch C'!F44</f>
        <v>0</v>
      </c>
      <c r="E55" s="259">
        <f t="shared" si="2"/>
        <v>0</v>
      </c>
      <c r="F55" s="183">
        <v>0</v>
      </c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'[5]Sch C'!D45</f>
        <v>0</v>
      </c>
      <c r="D56" s="273">
        <f>'[5]Sch C'!F45</f>
        <v>0</v>
      </c>
      <c r="E56" s="259">
        <f t="shared" si="2"/>
        <v>0</v>
      </c>
      <c r="F56" s="183">
        <v>0</v>
      </c>
      <c r="G56" s="183">
        <f t="shared" si="3"/>
        <v>0</v>
      </c>
      <c r="H56" s="181">
        <f t="shared" si="4"/>
        <v>0</v>
      </c>
      <c r="J56" s="136"/>
      <c r="K56" s="136"/>
      <c r="M56" s="237">
        <f t="shared" si="5"/>
        <v>0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544203</v>
      </c>
      <c r="D57" s="273">
        <f>SUM(D21:D56)</f>
        <v>-48552.4</v>
      </c>
      <c r="E57" s="183">
        <f>SUM(E21:E56)</f>
        <v>495650.6</v>
      </c>
      <c r="F57" s="183">
        <f>SUM(F21:F56)</f>
        <v>591420</v>
      </c>
      <c r="G57" s="183">
        <f t="shared" si="3"/>
        <v>1087070.6000000001</v>
      </c>
      <c r="H57" s="181">
        <f t="shared" si="4"/>
        <v>0.28227149011537755</v>
      </c>
      <c r="J57" s="136"/>
      <c r="K57" s="136"/>
      <c r="M57" s="237">
        <f t="shared" si="5"/>
        <v>46.977986171132244</v>
      </c>
      <c r="N57" s="243">
        <f>SUMMARY!M57</f>
        <v>39.672950949912064</v>
      </c>
      <c r="O57" s="238">
        <f>M57/N57-1</f>
        <v>0.18413138035642818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'[5]Sch C'!D57</f>
        <v>4982</v>
      </c>
      <c r="D60" s="273">
        <f>'[5]Sch C'!F57</f>
        <v>0</v>
      </c>
      <c r="E60" s="259">
        <f t="shared" ref="E60:E76" si="6">SUM(C60:D60)</f>
        <v>4982</v>
      </c>
      <c r="F60" s="179">
        <v>92037</v>
      </c>
      <c r="G60" s="179">
        <f>IF(ISERROR(E60+F60),"",(E60+F60))</f>
        <v>97019</v>
      </c>
      <c r="H60" s="181">
        <f>IF(ISERROR(G60/$G$183),"",(G60/$G$183))</f>
        <v>2.5192197911988252E-2</v>
      </c>
      <c r="J60" s="136"/>
      <c r="K60" s="136"/>
      <c r="M60" s="237">
        <f>IFERROR(G60/G$198,0)</f>
        <v>4.1926966292134829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'[5]Sch C'!D58</f>
        <v>20374</v>
      </c>
      <c r="D61" s="273">
        <f>'[5]Sch C'!F58</f>
        <v>0</v>
      </c>
      <c r="E61" s="259">
        <f t="shared" si="6"/>
        <v>20374</v>
      </c>
      <c r="F61" s="179">
        <v>0</v>
      </c>
      <c r="G61" s="179">
        <f t="shared" ref="G61:G76" si="7">IF(ISERROR(E61+F61),"",(E61+F61))</f>
        <v>20374</v>
      </c>
      <c r="H61" s="181">
        <f t="shared" ref="H61:H76" si="8">IF(ISERROR(G61/$G$183),"",(G61/$G$183))</f>
        <v>5.2903641581427208E-3</v>
      </c>
      <c r="J61" s="136"/>
      <c r="K61" s="136"/>
      <c r="M61" s="237">
        <f t="shared" ref="M61:M77" si="9">IFERROR(G61/G$198,0)</f>
        <v>0.88046672428694905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'[5]Sch C'!D59</f>
        <v>45798</v>
      </c>
      <c r="D62" s="273">
        <f>'[5]Sch C'!F59</f>
        <v>-3883.9399999999996</v>
      </c>
      <c r="E62" s="259">
        <f t="shared" si="6"/>
        <v>41914.06</v>
      </c>
      <c r="F62" s="179">
        <v>4083</v>
      </c>
      <c r="G62" s="179">
        <f t="shared" si="7"/>
        <v>45997.06</v>
      </c>
      <c r="H62" s="181">
        <f t="shared" si="8"/>
        <v>1.19437124572465E-2</v>
      </c>
      <c r="J62" s="136"/>
      <c r="K62" s="136"/>
      <c r="M62" s="237">
        <f t="shared" si="9"/>
        <v>1.987772687986171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'[5]Sch C'!D60</f>
        <v>0</v>
      </c>
      <c r="D63" s="273">
        <f>'[5]Sch C'!F60</f>
        <v>0</v>
      </c>
      <c r="E63" s="259">
        <f t="shared" si="6"/>
        <v>0</v>
      </c>
      <c r="F63" s="179">
        <v>0</v>
      </c>
      <c r="G63" s="179">
        <f t="shared" si="7"/>
        <v>0</v>
      </c>
      <c r="H63" s="181">
        <f t="shared" si="8"/>
        <v>0</v>
      </c>
      <c r="J63" s="136"/>
      <c r="K63" s="136"/>
      <c r="M63" s="237">
        <f t="shared" si="9"/>
        <v>0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'[5]Sch C'!D61</f>
        <v>3103</v>
      </c>
      <c r="D64" s="273">
        <f>'[5]Sch C'!F61</f>
        <v>0</v>
      </c>
      <c r="E64" s="259">
        <f t="shared" si="6"/>
        <v>3103</v>
      </c>
      <c r="F64" s="179">
        <v>10962</v>
      </c>
      <c r="G64" s="179">
        <f t="shared" si="7"/>
        <v>14065</v>
      </c>
      <c r="H64" s="181">
        <f t="shared" si="8"/>
        <v>3.6521533269989873E-3</v>
      </c>
      <c r="J64" s="136"/>
      <c r="K64" s="136"/>
      <c r="M64" s="237">
        <f t="shared" si="9"/>
        <v>0.60782195332757127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'[5]Sch C'!D62</f>
        <v>0</v>
      </c>
      <c r="D65" s="273">
        <f>'[5]Sch C'!F62</f>
        <v>0</v>
      </c>
      <c r="E65" s="259">
        <f t="shared" si="6"/>
        <v>0</v>
      </c>
      <c r="F65" s="179">
        <v>0</v>
      </c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'[5]Sch C'!D63</f>
        <v>0</v>
      </c>
      <c r="D66" s="273">
        <f>'[5]Sch C'!F63</f>
        <v>0</v>
      </c>
      <c r="E66" s="259">
        <f t="shared" si="6"/>
        <v>0</v>
      </c>
      <c r="F66" s="179">
        <v>0</v>
      </c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'[5]Sch C'!D64</f>
        <v>7684</v>
      </c>
      <c r="D67" s="273">
        <f>'[5]Sch C'!F64</f>
        <v>0</v>
      </c>
      <c r="E67" s="259">
        <f t="shared" si="6"/>
        <v>7684</v>
      </c>
      <c r="F67" s="179">
        <v>0</v>
      </c>
      <c r="G67" s="179">
        <f t="shared" si="7"/>
        <v>7684</v>
      </c>
      <c r="H67" s="181">
        <f t="shared" si="8"/>
        <v>1.9952467945012599E-3</v>
      </c>
      <c r="J67" s="136"/>
      <c r="K67" s="136"/>
      <c r="M67" s="237">
        <f t="shared" si="9"/>
        <v>0.3320656871218669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'[5]Sch C'!D65</f>
        <v>1116</v>
      </c>
      <c r="D68" s="273">
        <f>'[5]Sch C'!F65</f>
        <v>0</v>
      </c>
      <c r="E68" s="259">
        <f t="shared" si="6"/>
        <v>1116</v>
      </c>
      <c r="F68" s="179">
        <v>0</v>
      </c>
      <c r="G68" s="179">
        <f t="shared" si="7"/>
        <v>1116</v>
      </c>
      <c r="H68" s="181">
        <f t="shared" si="8"/>
        <v>2.8978337098690862E-4</v>
      </c>
      <c r="J68" s="136"/>
      <c r="K68" s="136"/>
      <c r="M68" s="237">
        <f t="shared" si="9"/>
        <v>4.8228176318063962E-2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'[5]Sch C'!D66</f>
        <v>0</v>
      </c>
      <c r="D69" s="273">
        <f>'[5]Sch C'!F66</f>
        <v>0</v>
      </c>
      <c r="E69" s="259">
        <f t="shared" si="6"/>
        <v>0</v>
      </c>
      <c r="F69" s="179">
        <v>0</v>
      </c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'[5]Sch C'!D67</f>
        <v>3600</v>
      </c>
      <c r="D70" s="273">
        <f>'[5]Sch C'!F67</f>
        <v>0</v>
      </c>
      <c r="E70" s="259">
        <f t="shared" si="6"/>
        <v>3600</v>
      </c>
      <c r="F70" s="179">
        <v>4336</v>
      </c>
      <c r="G70" s="179">
        <f t="shared" si="7"/>
        <v>7936</v>
      </c>
      <c r="H70" s="181">
        <f t="shared" si="8"/>
        <v>2.0606817492402393E-3</v>
      </c>
      <c r="J70" s="136"/>
      <c r="K70" s="136"/>
      <c r="M70" s="237">
        <f t="shared" si="9"/>
        <v>0.34295592048401036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'[5]Sch C'!D68</f>
        <v>0</v>
      </c>
      <c r="D71" s="273">
        <f>'[5]Sch C'!F68</f>
        <v>0</v>
      </c>
      <c r="E71" s="259">
        <f t="shared" si="6"/>
        <v>0</v>
      </c>
      <c r="F71" s="179">
        <v>0</v>
      </c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'[5]Sch C'!D69</f>
        <v>305</v>
      </c>
      <c r="D72" s="273">
        <f>'[5]Sch C'!F69</f>
        <v>0</v>
      </c>
      <c r="E72" s="259">
        <f t="shared" si="6"/>
        <v>305</v>
      </c>
      <c r="F72" s="179">
        <v>0</v>
      </c>
      <c r="G72" s="179">
        <f t="shared" si="7"/>
        <v>305</v>
      </c>
      <c r="H72" s="181">
        <f t="shared" si="8"/>
        <v>7.9197068235669469E-5</v>
      </c>
      <c r="J72" s="136"/>
      <c r="K72" s="136"/>
      <c r="M72" s="237">
        <f t="shared" si="9"/>
        <v>1.3180639585133967E-2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'[5]Sch C'!D70</f>
        <v>0</v>
      </c>
      <c r="D73" s="273">
        <f>'[5]Sch C'!F70</f>
        <v>0</v>
      </c>
      <c r="E73" s="259">
        <f t="shared" si="6"/>
        <v>0</v>
      </c>
      <c r="F73" s="179">
        <v>0</v>
      </c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'[5]Sch C'!D71</f>
        <v>0</v>
      </c>
      <c r="D74" s="273">
        <f>'[5]Sch C'!F71</f>
        <v>0</v>
      </c>
      <c r="E74" s="259">
        <f t="shared" si="6"/>
        <v>0</v>
      </c>
      <c r="F74" s="179">
        <v>0</v>
      </c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'[5]Sch C'!D72</f>
        <v>0</v>
      </c>
      <c r="D75" s="273">
        <f>'[5]Sch C'!F72</f>
        <v>0</v>
      </c>
      <c r="E75" s="259">
        <f t="shared" si="6"/>
        <v>0</v>
      </c>
      <c r="F75" s="179">
        <v>0</v>
      </c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'[5]Sch C'!D73</f>
        <v>0</v>
      </c>
      <c r="D76" s="273">
        <f>'[5]Sch C'!F73</f>
        <v>0</v>
      </c>
      <c r="E76" s="259">
        <f t="shared" si="6"/>
        <v>0</v>
      </c>
      <c r="F76" s="179">
        <v>0</v>
      </c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86962</v>
      </c>
      <c r="D77" s="273">
        <f>SUM(D60:D76)</f>
        <v>-3883.9399999999996</v>
      </c>
      <c r="E77" s="182">
        <f>SUM(E60:E76)</f>
        <v>83078.06</v>
      </c>
      <c r="F77" s="182">
        <f>SUM(F60:F76)</f>
        <v>111418</v>
      </c>
      <c r="G77" s="183">
        <f>IF(ISERROR(E77+F77),"",(E77+F77))</f>
        <v>194496.06</v>
      </c>
      <c r="H77" s="181">
        <f>IF(ISERROR(G77/$G$183),"",(G77/$G$183))</f>
        <v>5.0503336837340533E-2</v>
      </c>
      <c r="J77" s="136"/>
      <c r="K77" s="136"/>
      <c r="M77" s="237">
        <f t="shared" si="9"/>
        <v>8.4051884183232488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'[5]Sch C'!D78</f>
        <v>12450</v>
      </c>
      <c r="D80" s="273">
        <f>'[5]Sch C'!F78</f>
        <v>0</v>
      </c>
      <c r="E80" s="259">
        <f t="shared" ref="E80:E91" si="10">SUM(C80:D80)</f>
        <v>12450</v>
      </c>
      <c r="F80" s="180">
        <v>19330</v>
      </c>
      <c r="G80" s="180">
        <f>IF(ISERROR(E80+F80),"",(E80+F80))</f>
        <v>31780</v>
      </c>
      <c r="H80" s="181">
        <f t="shared" ref="H80:H92" si="11">IF(ISERROR(G80/$G$183),"",(G80/$G$183))</f>
        <v>8.2520748476379528E-3</v>
      </c>
      <c r="J80" s="261">
        <f>692.25+1040</f>
        <v>1732.25</v>
      </c>
      <c r="K80" s="261">
        <f>729.583333333333+1040</f>
        <v>1769.583333333333</v>
      </c>
      <c r="M80" s="237">
        <f t="shared" ref="M80:M92" si="12">IFERROR(G80/G$198,0)</f>
        <v>1.3733794295592048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'[5]Sch C'!D79</f>
        <v>0</v>
      </c>
      <c r="D81" s="273">
        <f>'[5]Sch C'!F79</f>
        <v>1265</v>
      </c>
      <c r="E81" s="259">
        <f t="shared" si="10"/>
        <v>1265</v>
      </c>
      <c r="F81" s="183">
        <v>2007</v>
      </c>
      <c r="G81" s="183">
        <f>IF(ISERROR(E81+F81),"",(E81+F81))</f>
        <v>3272</v>
      </c>
      <c r="H81" s="181">
        <f t="shared" si="11"/>
        <v>8.4961576153150991E-4</v>
      </c>
      <c r="J81" s="136"/>
      <c r="K81" s="136"/>
      <c r="M81" s="237">
        <f t="shared" si="12"/>
        <v>0.14140017286084702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'[5]Sch C'!D80</f>
        <v>287</v>
      </c>
      <c r="D82" s="273">
        <f>'[5]Sch C'!F80</f>
        <v>0</v>
      </c>
      <c r="E82" s="259">
        <f t="shared" si="10"/>
        <v>287</v>
      </c>
      <c r="F82" s="183">
        <v>1133</v>
      </c>
      <c r="G82" s="183">
        <f>IF(ISERROR(E82+F82),"",(E82+F82))</f>
        <v>1420</v>
      </c>
      <c r="H82" s="181">
        <f t="shared" si="11"/>
        <v>3.6872077670377259E-4</v>
      </c>
      <c r="J82" s="136"/>
      <c r="K82" s="136"/>
      <c r="M82" s="237">
        <f t="shared" si="12"/>
        <v>6.1365600691443388E-2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'[5]Sch C'!D81</f>
        <v>0</v>
      </c>
      <c r="D83" s="273">
        <f>'[5]Sch C'!F81</f>
        <v>0</v>
      </c>
      <c r="E83" s="259">
        <f t="shared" si="10"/>
        <v>0</v>
      </c>
      <c r="F83" s="183">
        <v>16137</v>
      </c>
      <c r="G83" s="183">
        <f>IF(ISERROR(E83+F83),"",(E83+F83))</f>
        <v>16137</v>
      </c>
      <c r="H83" s="181">
        <f t="shared" si="11"/>
        <v>4.1901740659639284E-3</v>
      </c>
      <c r="J83" s="136"/>
      <c r="K83" s="136"/>
      <c r="M83" s="237">
        <f t="shared" si="12"/>
        <v>0.69736387208297324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'[5]Sch C'!D82</f>
        <v>206</v>
      </c>
      <c r="D84" s="273">
        <f>'[5]Sch C'!F82</f>
        <v>0</v>
      </c>
      <c r="E84" s="259">
        <f t="shared" si="10"/>
        <v>206</v>
      </c>
      <c r="F84" s="183">
        <v>0</v>
      </c>
      <c r="G84" s="183">
        <f t="shared" ref="G84:G91" si="13">IF(ISERROR(E84+F84),"",(E84+F84))</f>
        <v>206</v>
      </c>
      <c r="H84" s="181">
        <f t="shared" si="11"/>
        <v>5.3490478873927577E-5</v>
      </c>
      <c r="J84" s="136"/>
      <c r="K84" s="136"/>
      <c r="M84" s="237">
        <f t="shared" si="12"/>
        <v>8.9023336214347458E-3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'[5]Sch C'!D83</f>
        <v>6714</v>
      </c>
      <c r="D85" s="273">
        <f>'[5]Sch C'!F83</f>
        <v>0</v>
      </c>
      <c r="E85" s="259">
        <f t="shared" si="10"/>
        <v>6714</v>
      </c>
      <c r="F85" s="183">
        <v>5220</v>
      </c>
      <c r="G85" s="183">
        <f t="shared" si="13"/>
        <v>11934</v>
      </c>
      <c r="H85" s="181">
        <f t="shared" si="11"/>
        <v>3.0988124994245228E-3</v>
      </c>
      <c r="J85" s="136"/>
      <c r="K85" s="136"/>
      <c r="M85" s="237">
        <f t="shared" si="12"/>
        <v>0.51573033707865168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'[5]Sch C'!D84</f>
        <v>371</v>
      </c>
      <c r="D86" s="273">
        <f>'[5]Sch C'!F84</f>
        <v>0</v>
      </c>
      <c r="E86" s="259">
        <f t="shared" si="10"/>
        <v>371</v>
      </c>
      <c r="F86" s="183">
        <v>32585</v>
      </c>
      <c r="G86" s="183">
        <f t="shared" si="13"/>
        <v>32956</v>
      </c>
      <c r="H86" s="181">
        <f t="shared" si="11"/>
        <v>8.5574379697531903E-3</v>
      </c>
      <c r="J86" s="136"/>
      <c r="K86" s="136"/>
      <c r="M86" s="237">
        <f t="shared" si="12"/>
        <v>1.424200518582541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'[5]Sch C'!D85</f>
        <v>9805</v>
      </c>
      <c r="D87" s="273">
        <f>'[5]Sch C'!F85</f>
        <v>0</v>
      </c>
      <c r="E87" s="259">
        <f t="shared" si="10"/>
        <v>9805</v>
      </c>
      <c r="F87" s="183">
        <v>1695</v>
      </c>
      <c r="G87" s="183">
        <f t="shared" si="13"/>
        <v>11500</v>
      </c>
      <c r="H87" s="181">
        <f t="shared" si="11"/>
        <v>2.9861189662629471E-3</v>
      </c>
      <c r="J87" s="136"/>
      <c r="K87" s="136"/>
      <c r="M87" s="237">
        <f t="shared" si="12"/>
        <v>0.49697493517718239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'[5]Sch C'!D86</f>
        <v>0</v>
      </c>
      <c r="D88" s="273">
        <f>'[5]Sch C'!F86</f>
        <v>0</v>
      </c>
      <c r="E88" s="259">
        <f t="shared" si="10"/>
        <v>0</v>
      </c>
      <c r="F88" s="183">
        <v>0</v>
      </c>
      <c r="G88" s="183">
        <f t="shared" si="13"/>
        <v>0</v>
      </c>
      <c r="H88" s="181">
        <f t="shared" si="11"/>
        <v>0</v>
      </c>
      <c r="J88" s="136"/>
      <c r="K88" s="136"/>
      <c r="M88" s="237">
        <f t="shared" si="12"/>
        <v>0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'[5]Sch C'!D87</f>
        <v>25941</v>
      </c>
      <c r="D89" s="273">
        <f>'[5]Sch C'!F87</f>
        <v>0</v>
      </c>
      <c r="E89" s="259">
        <f t="shared" si="10"/>
        <v>25941</v>
      </c>
      <c r="F89" s="183">
        <v>33229</v>
      </c>
      <c r="G89" s="183">
        <f t="shared" si="13"/>
        <v>59170</v>
      </c>
      <c r="H89" s="181">
        <f t="shared" si="11"/>
        <v>1.5364231237719878E-2</v>
      </c>
      <c r="J89" s="136"/>
      <c r="K89" s="136"/>
      <c r="M89" s="237">
        <f t="shared" si="12"/>
        <v>2.5570440795159897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'[5]Sch C'!D88</f>
        <v>0</v>
      </c>
      <c r="D90" s="273">
        <f>'[5]Sch C'!F88</f>
        <v>0</v>
      </c>
      <c r="E90" s="259">
        <f t="shared" si="10"/>
        <v>0</v>
      </c>
      <c r="F90" s="183">
        <v>0</v>
      </c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'[5]Sch C'!D89</f>
        <v>8722</v>
      </c>
      <c r="D91" s="273">
        <f>'[5]Sch C'!F89</f>
        <v>0</v>
      </c>
      <c r="E91" s="259">
        <f t="shared" si="10"/>
        <v>8722</v>
      </c>
      <c r="F91" s="183">
        <v>16060</v>
      </c>
      <c r="G91" s="183">
        <f t="shared" si="13"/>
        <v>24782</v>
      </c>
      <c r="H91" s="181">
        <f t="shared" si="11"/>
        <v>6.4349565410372483E-3</v>
      </c>
      <c r="J91" s="136"/>
      <c r="K91" s="136"/>
      <c r="M91" s="237">
        <f t="shared" si="12"/>
        <v>1.0709593777009507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64496</v>
      </c>
      <c r="D92" s="273">
        <f>SUM(D80:D91)</f>
        <v>1265</v>
      </c>
      <c r="E92" s="183">
        <f>SUM(E80:E91)</f>
        <v>65761</v>
      </c>
      <c r="F92" s="183">
        <f>SUM(F80:F91)</f>
        <v>127396</v>
      </c>
      <c r="G92" s="183">
        <f>IF(ISERROR(E92+F92),"",(E92+F92))</f>
        <v>193157</v>
      </c>
      <c r="H92" s="181">
        <f t="shared" si="11"/>
        <v>5.0155633144908882E-2</v>
      </c>
      <c r="J92" s="136"/>
      <c r="K92" s="136"/>
      <c r="M92" s="237">
        <f t="shared" si="12"/>
        <v>8.3473206568712186</v>
      </c>
      <c r="N92" s="243">
        <f>SUMMARY!M92</f>
        <v>10.36414021133649</v>
      </c>
      <c r="O92" s="238">
        <f>M92/N92-1</f>
        <v>-0.19459593495842875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'[5]Sch C'!D93</f>
        <v>45043</v>
      </c>
      <c r="D95" s="273">
        <f>'[5]Sch C'!F93</f>
        <v>0</v>
      </c>
      <c r="E95" s="259">
        <f t="shared" ref="E95:E100" si="14">SUM(C95:D95)</f>
        <v>45043</v>
      </c>
      <c r="F95" s="180">
        <v>95450</v>
      </c>
      <c r="G95" s="180">
        <f t="shared" ref="G95:G101" si="15">IF(ISERROR(E95+F95),"",(E95+F95))</f>
        <v>140493</v>
      </c>
      <c r="H95" s="181">
        <f t="shared" ref="H95:H101" si="16">IF(ISERROR(G95/$G$183),"",(G95/$G$183))</f>
        <v>3.648076625453741E-2</v>
      </c>
      <c r="J95" s="261">
        <f>4089.83333333333+7553</f>
        <v>11642.83333333333</v>
      </c>
      <c r="K95" s="261">
        <f>4338.29+7993</f>
        <v>12331.29</v>
      </c>
      <c r="M95" s="237">
        <f t="shared" ref="M95:M101" si="17">IFERROR(G95/G$198,0)</f>
        <v>6.0714347450302508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'[5]Sch C'!D94</f>
        <v>0</v>
      </c>
      <c r="D96" s="273">
        <f>'[5]Sch C'!F94</f>
        <v>4578</v>
      </c>
      <c r="E96" s="259">
        <f t="shared" si="14"/>
        <v>4578</v>
      </c>
      <c r="F96" s="183">
        <v>9418</v>
      </c>
      <c r="G96" s="183">
        <f t="shared" si="15"/>
        <v>13996</v>
      </c>
      <c r="H96" s="181">
        <f t="shared" si="16"/>
        <v>3.6342366132014097E-3</v>
      </c>
      <c r="J96" s="136"/>
      <c r="K96" s="136"/>
      <c r="M96" s="237">
        <f t="shared" si="17"/>
        <v>0.6048401037165082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'[5]Sch C'!D95</f>
        <v>2400</v>
      </c>
      <c r="D97" s="273">
        <f>'[5]Sch C'!F95</f>
        <v>0</v>
      </c>
      <c r="E97" s="259">
        <f t="shared" si="14"/>
        <v>2400</v>
      </c>
      <c r="F97" s="183">
        <v>4800</v>
      </c>
      <c r="G97" s="183">
        <f t="shared" si="15"/>
        <v>7200</v>
      </c>
      <c r="H97" s="181">
        <f t="shared" si="16"/>
        <v>1.8695701353994105E-3</v>
      </c>
      <c r="J97" s="136"/>
      <c r="K97" s="136"/>
      <c r="M97" s="237">
        <f t="shared" si="17"/>
        <v>0.3111495246326707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'[5]Sch C'!D96</f>
        <v>53155</v>
      </c>
      <c r="D98" s="273">
        <f>'[5]Sch C'!F96</f>
        <v>0</v>
      </c>
      <c r="E98" s="259">
        <f t="shared" si="14"/>
        <v>53155</v>
      </c>
      <c r="F98" s="183">
        <v>113300</v>
      </c>
      <c r="G98" s="183">
        <f t="shared" si="15"/>
        <v>166455</v>
      </c>
      <c r="H98" s="181">
        <f t="shared" si="16"/>
        <v>4.322212456776512E-2</v>
      </c>
      <c r="J98" s="136"/>
      <c r="K98" s="136"/>
      <c r="M98" s="237">
        <f t="shared" si="17"/>
        <v>7.1933880726015555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'[5]Sch C'!D97</f>
        <v>6879</v>
      </c>
      <c r="D99" s="273">
        <f>'[5]Sch C'!F97</f>
        <v>0</v>
      </c>
      <c r="E99" s="259">
        <f t="shared" si="14"/>
        <v>6879</v>
      </c>
      <c r="F99" s="183">
        <v>13587</v>
      </c>
      <c r="G99" s="183">
        <f t="shared" si="15"/>
        <v>20466</v>
      </c>
      <c r="H99" s="181">
        <f t="shared" si="16"/>
        <v>5.3142531098728241E-3</v>
      </c>
      <c r="J99" s="136"/>
      <c r="K99" s="136"/>
      <c r="M99" s="237">
        <f t="shared" si="17"/>
        <v>0.88444252376836652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'[5]Sch C'!D98</f>
        <v>1008</v>
      </c>
      <c r="D100" s="273">
        <f>'[5]Sch C'!F98</f>
        <v>0</v>
      </c>
      <c r="E100" s="259">
        <f t="shared" si="14"/>
        <v>1008</v>
      </c>
      <c r="F100" s="183">
        <v>348</v>
      </c>
      <c r="G100" s="183">
        <f t="shared" si="15"/>
        <v>1356</v>
      </c>
      <c r="H100" s="181">
        <f t="shared" si="16"/>
        <v>3.521023755002223E-4</v>
      </c>
      <c r="J100" s="136"/>
      <c r="K100" s="136"/>
      <c r="M100" s="237">
        <f t="shared" si="17"/>
        <v>5.8599827139152981E-2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108485</v>
      </c>
      <c r="D101" s="273">
        <f>SUM(D95:D100)</f>
        <v>4578</v>
      </c>
      <c r="E101" s="183">
        <f>SUM(E95:E100)</f>
        <v>113063</v>
      </c>
      <c r="F101" s="183">
        <f>SUM(F95:F100)</f>
        <v>236903</v>
      </c>
      <c r="G101" s="183">
        <f t="shared" si="15"/>
        <v>349966</v>
      </c>
      <c r="H101" s="181">
        <f t="shared" si="16"/>
        <v>9.0873053056276396E-2</v>
      </c>
      <c r="J101" s="136"/>
      <c r="K101" s="136"/>
      <c r="M101" s="237">
        <f t="shared" si="17"/>
        <v>15.123854796888505</v>
      </c>
      <c r="N101" s="243">
        <f>SUMMARY!M101</f>
        <v>14.116295917008408</v>
      </c>
      <c r="O101" s="238">
        <f>M101/N101-1</f>
        <v>7.1375585054582968E-2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'[5]Sch C'!D102</f>
        <v>29380</v>
      </c>
      <c r="D104" s="273">
        <f>'[5]Sch C'!F102</f>
        <v>0</v>
      </c>
      <c r="E104" s="259">
        <f t="shared" ref="E104:E109" si="18">SUM(C104:D104)</f>
        <v>29380</v>
      </c>
      <c r="F104" s="180">
        <v>53821</v>
      </c>
      <c r="G104" s="180">
        <f t="shared" ref="G104:G110" si="19">IF(ISERROR(E104+F104),"",(E104+F104))</f>
        <v>83201</v>
      </c>
      <c r="H104" s="181">
        <f t="shared" ref="H104:H110" si="20">IF(ISERROR(G104/$G$183),"",(G104/$G$183))</f>
        <v>2.1604181227134214E-2</v>
      </c>
      <c r="J104" s="261">
        <f>2019.5+3874</f>
        <v>5893.5</v>
      </c>
      <c r="K104" s="261">
        <f>2166.58333333333+4137</f>
        <v>6303.5833333333303</v>
      </c>
      <c r="M104" s="237">
        <f t="shared" ref="M104:M110" si="21">IFERROR(G104/G$198,0)</f>
        <v>3.5955488331892824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'[5]Sch C'!D103</f>
        <v>0</v>
      </c>
      <c r="D105" s="273">
        <f>'[5]Sch C'!F103</f>
        <v>2986</v>
      </c>
      <c r="E105" s="259">
        <f t="shared" si="18"/>
        <v>2986</v>
      </c>
      <c r="F105" s="183">
        <v>5201</v>
      </c>
      <c r="G105" s="183">
        <f t="shared" si="19"/>
        <v>8187</v>
      </c>
      <c r="H105" s="181">
        <f t="shared" si="20"/>
        <v>2.1258570414604129E-3</v>
      </c>
      <c r="J105" s="136"/>
      <c r="K105" s="136"/>
      <c r="M105" s="237">
        <f t="shared" si="21"/>
        <v>0.35380293863439932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'[5]Sch C'!D104</f>
        <v>0</v>
      </c>
      <c r="D106" s="273">
        <f>'[5]Sch C'!F104</f>
        <v>0</v>
      </c>
      <c r="E106" s="259">
        <f t="shared" si="18"/>
        <v>0</v>
      </c>
      <c r="F106" s="183">
        <v>0</v>
      </c>
      <c r="G106" s="183">
        <f t="shared" si="19"/>
        <v>0</v>
      </c>
      <c r="H106" s="181">
        <f t="shared" si="20"/>
        <v>0</v>
      </c>
      <c r="J106" s="136"/>
      <c r="K106" s="136"/>
      <c r="M106" s="237">
        <f t="shared" si="21"/>
        <v>0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'[5]Sch C'!D105</f>
        <v>0</v>
      </c>
      <c r="D107" s="273">
        <f>'[5]Sch C'!F105</f>
        <v>0</v>
      </c>
      <c r="E107" s="259">
        <f t="shared" si="18"/>
        <v>0</v>
      </c>
      <c r="F107" s="183">
        <v>5468</v>
      </c>
      <c r="G107" s="183">
        <f t="shared" si="19"/>
        <v>5468</v>
      </c>
      <c r="H107" s="181">
        <f t="shared" si="20"/>
        <v>1.41983465282833E-3</v>
      </c>
      <c r="J107" s="136"/>
      <c r="K107" s="136"/>
      <c r="M107" s="237">
        <f t="shared" si="21"/>
        <v>0.23630077787381157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'[5]Sch C'!D106</f>
        <v>1336</v>
      </c>
      <c r="D108" s="273">
        <f>'[5]Sch C'!F106</f>
        <v>0</v>
      </c>
      <c r="E108" s="259">
        <f t="shared" si="18"/>
        <v>1336</v>
      </c>
      <c r="F108" s="183">
        <v>2650</v>
      </c>
      <c r="G108" s="183">
        <f t="shared" si="19"/>
        <v>3986</v>
      </c>
      <c r="H108" s="181">
        <f t="shared" si="20"/>
        <v>1.0350147999586181E-3</v>
      </c>
      <c r="J108" s="136"/>
      <c r="K108" s="136"/>
      <c r="M108" s="237">
        <f t="shared" si="21"/>
        <v>0.17225583405358685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'[5]Sch C'!D107</f>
        <v>0</v>
      </c>
      <c r="D109" s="273">
        <f>'[5]Sch C'!F107</f>
        <v>0</v>
      </c>
      <c r="E109" s="259">
        <f t="shared" si="18"/>
        <v>0</v>
      </c>
      <c r="F109" s="183">
        <v>0</v>
      </c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30716</v>
      </c>
      <c r="D110" s="273">
        <f>SUM(D104:D109)</f>
        <v>2986</v>
      </c>
      <c r="E110" s="183">
        <f>SUM(E104:E109)</f>
        <v>33702</v>
      </c>
      <c r="F110" s="183">
        <f>SUM(F104:F109)</f>
        <v>67140</v>
      </c>
      <c r="G110" s="183">
        <f t="shared" si="19"/>
        <v>100842</v>
      </c>
      <c r="H110" s="181">
        <f t="shared" si="20"/>
        <v>2.6184887721381576E-2</v>
      </c>
      <c r="J110" s="136"/>
      <c r="K110" s="136"/>
      <c r="M110" s="237">
        <f t="shared" si="21"/>
        <v>4.3579083837510808</v>
      </c>
      <c r="N110" s="243">
        <f>SUMMARY!M110</f>
        <v>2.6822243142585545</v>
      </c>
      <c r="O110" s="238">
        <f>M110/N110-1</f>
        <v>0.62473673830510124</v>
      </c>
      <c r="P110" s="178">
        <f>IF(O110&gt;=0.2,0.2,0)</f>
        <v>0.2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'[5]Sch C'!D121</f>
        <v>0</v>
      </c>
      <c r="D113" s="273">
        <f>'[5]Sch C'!F121</f>
        <v>0</v>
      </c>
      <c r="E113" s="259">
        <f t="shared" ref="E113:E117" si="22">SUM(C113:D113)</f>
        <v>0</v>
      </c>
      <c r="F113" s="180">
        <v>0</v>
      </c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'[5]Sch C'!D122</f>
        <v>0</v>
      </c>
      <c r="D114" s="273">
        <f>'[5]Sch C'!F122</f>
        <v>0</v>
      </c>
      <c r="E114" s="259">
        <f t="shared" si="22"/>
        <v>0</v>
      </c>
      <c r="F114" s="183">
        <v>0</v>
      </c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'[5]Sch C'!D123</f>
        <v>6361</v>
      </c>
      <c r="D115" s="273">
        <f>'[5]Sch C'!F123</f>
        <v>0</v>
      </c>
      <c r="E115" s="259">
        <f t="shared" si="22"/>
        <v>6361</v>
      </c>
      <c r="F115" s="183">
        <v>0</v>
      </c>
      <c r="G115" s="183">
        <f t="shared" si="23"/>
        <v>6361</v>
      </c>
      <c r="H115" s="181">
        <f t="shared" si="24"/>
        <v>1.6517132821216181E-3</v>
      </c>
      <c r="J115" s="136"/>
      <c r="K115" s="136"/>
      <c r="M115" s="237">
        <f t="shared" si="25"/>
        <v>0.27489196197061366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'[5]Sch C'!D124</f>
        <v>0</v>
      </c>
      <c r="D116" s="273">
        <f>'[5]Sch C'!F124</f>
        <v>0</v>
      </c>
      <c r="E116" s="259">
        <f t="shared" si="22"/>
        <v>0</v>
      </c>
      <c r="F116" s="183">
        <v>0</v>
      </c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'[5]Sch C'!D125</f>
        <v>0</v>
      </c>
      <c r="D117" s="273">
        <f>'[5]Sch C'!F125</f>
        <v>0</v>
      </c>
      <c r="E117" s="259">
        <f t="shared" si="22"/>
        <v>0</v>
      </c>
      <c r="F117" s="183">
        <v>0</v>
      </c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6361</v>
      </c>
      <c r="D118" s="273">
        <f>SUM(D113:D117)</f>
        <v>0</v>
      </c>
      <c r="E118" s="183">
        <f>SUM(E113:E117)</f>
        <v>6361</v>
      </c>
      <c r="F118" s="183">
        <f>SUM(F113:F117)</f>
        <v>0</v>
      </c>
      <c r="G118" s="183">
        <f t="shared" si="23"/>
        <v>6361</v>
      </c>
      <c r="H118" s="181">
        <f t="shared" si="24"/>
        <v>1.6517132821216181E-3</v>
      </c>
      <c r="J118" s="136"/>
      <c r="K118" s="136"/>
      <c r="M118" s="237">
        <f t="shared" si="25"/>
        <v>0.27489196197061366</v>
      </c>
      <c r="N118" s="243">
        <f>SUMMARY!M118</f>
        <v>3.1676887539780583</v>
      </c>
      <c r="O118" s="238">
        <f>M118/N118-1</f>
        <v>-0.9132200214981987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'[5]Sch C'!D129</f>
        <v>36063</v>
      </c>
      <c r="D121" s="273">
        <f>'[5]Sch C'!F129</f>
        <v>0</v>
      </c>
      <c r="E121" s="259">
        <f t="shared" ref="E121:E131" si="26">SUM(C121:D121)</f>
        <v>36063</v>
      </c>
      <c r="F121" s="180">
        <v>71993</v>
      </c>
      <c r="G121" s="180">
        <f>IF(ISERROR(E121+F121),"",(E121+F121))</f>
        <v>108056</v>
      </c>
      <c r="H121" s="181">
        <f>IF(ISERROR(G121/$G$183),"",(G121/$G$183))</f>
        <v>2.8058093132044264E-2</v>
      </c>
      <c r="J121" s="261">
        <f>1326.66666666667+2389</f>
        <v>3715.6666666666697</v>
      </c>
      <c r="K121" s="261">
        <f>1456+2580</f>
        <v>4036</v>
      </c>
      <c r="M121" s="237">
        <f t="shared" ref="M121:M131" si="27">IFERROR(G121/G$198,0)</f>
        <v>4.6696629213483147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'[5]Sch C'!D130</f>
        <v>0</v>
      </c>
      <c r="D122" s="273">
        <f>'[5]Sch C'!F130</f>
        <v>3665</v>
      </c>
      <c r="E122" s="259">
        <f t="shared" si="26"/>
        <v>3665</v>
      </c>
      <c r="F122" s="180">
        <v>7413</v>
      </c>
      <c r="G122" s="180">
        <f t="shared" ref="G122:G131" si="28">IF(ISERROR(E122+F122),"",(E122+F122))</f>
        <v>11078</v>
      </c>
      <c r="H122" s="181">
        <f t="shared" ref="H122:H131" si="29">IF(ISERROR(G122/$G$183),"",(G122/$G$183))</f>
        <v>2.8765413833270375E-3</v>
      </c>
      <c r="J122" s="136"/>
      <c r="K122" s="136"/>
      <c r="M122" s="237">
        <f t="shared" si="27"/>
        <v>0.47873811581676751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'[5]Sch C'!D131</f>
        <v>32907</v>
      </c>
      <c r="D123" s="273">
        <f>'[5]Sch C'!F131</f>
        <v>0</v>
      </c>
      <c r="E123" s="259">
        <f t="shared" si="26"/>
        <v>32907</v>
      </c>
      <c r="F123" s="180">
        <v>70706</v>
      </c>
      <c r="G123" s="180">
        <f t="shared" si="28"/>
        <v>103613</v>
      </c>
      <c r="H123" s="181">
        <f t="shared" si="29"/>
        <v>2.6904412560991544E-2</v>
      </c>
      <c r="J123" s="261">
        <f>2521.16666666667+4449</f>
        <v>6970.1666666666697</v>
      </c>
      <c r="K123" s="261">
        <f>2704.2+4548</f>
        <v>7252.2</v>
      </c>
      <c r="M123" s="237">
        <f t="shared" si="27"/>
        <v>4.4776577355229037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'[5]Sch C'!D132</f>
        <v>0</v>
      </c>
      <c r="D124" s="273">
        <f>'[5]Sch C'!F132</f>
        <v>3345</v>
      </c>
      <c r="E124" s="259">
        <f t="shared" si="26"/>
        <v>3345</v>
      </c>
      <c r="F124" s="180">
        <v>7280</v>
      </c>
      <c r="G124" s="180">
        <f t="shared" si="28"/>
        <v>10625</v>
      </c>
      <c r="H124" s="181">
        <f t="shared" si="29"/>
        <v>2.7589142623081577E-3</v>
      </c>
      <c r="J124" s="136"/>
      <c r="K124" s="136"/>
      <c r="M124" s="237">
        <f t="shared" si="27"/>
        <v>0.45916162489196199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'[5]Sch C'!D133</f>
        <v>0</v>
      </c>
      <c r="D125" s="273">
        <f>'[5]Sch C'!F133</f>
        <v>0</v>
      </c>
      <c r="E125" s="259">
        <f t="shared" si="26"/>
        <v>0</v>
      </c>
      <c r="F125" s="180">
        <v>0</v>
      </c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'[5]Sch C'!D134</f>
        <v>6079</v>
      </c>
      <c r="D126" s="273">
        <f>'[5]Sch C'!F134</f>
        <v>0</v>
      </c>
      <c r="E126" s="259">
        <f t="shared" si="26"/>
        <v>6079</v>
      </c>
      <c r="F126" s="180">
        <v>10682</v>
      </c>
      <c r="G126" s="180">
        <f t="shared" si="28"/>
        <v>16761</v>
      </c>
      <c r="H126" s="181">
        <f t="shared" si="29"/>
        <v>4.3522034776985446E-3</v>
      </c>
      <c r="J126" s="136"/>
      <c r="K126" s="136"/>
      <c r="M126" s="237">
        <f t="shared" si="27"/>
        <v>0.72433016421780472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'[5]Sch C'!D135</f>
        <v>0</v>
      </c>
      <c r="D127" s="273">
        <f>'[5]Sch C'!F135</f>
        <v>0</v>
      </c>
      <c r="E127" s="259">
        <f t="shared" si="26"/>
        <v>0</v>
      </c>
      <c r="F127" s="180">
        <v>0</v>
      </c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'[5]Sch C'!D136</f>
        <v>0</v>
      </c>
      <c r="D128" s="273">
        <f>'[5]Sch C'!F136</f>
        <v>0</v>
      </c>
      <c r="E128" s="259">
        <f t="shared" si="26"/>
        <v>0</v>
      </c>
      <c r="F128" s="180">
        <v>0</v>
      </c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'[5]Sch C'!D137</f>
        <v>9209</v>
      </c>
      <c r="D129" s="273">
        <f>'[5]Sch C'!F137</f>
        <v>0</v>
      </c>
      <c r="E129" s="259">
        <f t="shared" si="26"/>
        <v>9209</v>
      </c>
      <c r="F129" s="180">
        <v>32758</v>
      </c>
      <c r="G129" s="180">
        <f t="shared" si="28"/>
        <v>41967</v>
      </c>
      <c r="H129" s="181">
        <f t="shared" si="29"/>
        <v>1.0897256926709314E-2</v>
      </c>
      <c r="J129" s="136"/>
      <c r="K129" s="136"/>
      <c r="M129" s="237">
        <f t="shared" si="27"/>
        <v>1.8136127917026794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'[5]Sch C'!D138</f>
        <v>0</v>
      </c>
      <c r="D130" s="273">
        <f>'[5]Sch C'!F138</f>
        <v>0</v>
      </c>
      <c r="E130" s="259">
        <f t="shared" si="26"/>
        <v>0</v>
      </c>
      <c r="F130" s="180">
        <v>0</v>
      </c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'[5]Sch C'!D139</f>
        <v>0</v>
      </c>
      <c r="D131" s="273">
        <f>'[5]Sch C'!F139</f>
        <v>0</v>
      </c>
      <c r="E131" s="259">
        <f t="shared" si="26"/>
        <v>0</v>
      </c>
      <c r="F131" s="180">
        <v>0</v>
      </c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'[5]Sch C'!D141</f>
        <v>0</v>
      </c>
      <c r="D133" s="273">
        <f>'[5]Sch C'!F141</f>
        <v>0</v>
      </c>
      <c r="E133" s="259">
        <f t="shared" ref="E133:E138" si="30">SUM(C133:D133)</f>
        <v>0</v>
      </c>
      <c r="F133" s="183">
        <v>0</v>
      </c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'[5]Sch C'!D142</f>
        <v>0</v>
      </c>
      <c r="D134" s="273">
        <f>'[5]Sch C'!F142</f>
        <v>0</v>
      </c>
      <c r="E134" s="259">
        <f t="shared" si="30"/>
        <v>0</v>
      </c>
      <c r="F134" s="183">
        <v>0</v>
      </c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'[5]Sch C'!D143</f>
        <v>0</v>
      </c>
      <c r="D135" s="273">
        <f>'[5]Sch C'!F143</f>
        <v>0</v>
      </c>
      <c r="E135" s="259">
        <f t="shared" si="30"/>
        <v>0</v>
      </c>
      <c r="F135" s="183">
        <v>0</v>
      </c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'[5]Sch C'!D144</f>
        <v>0</v>
      </c>
      <c r="D136" s="273">
        <f>'[5]Sch C'!F144</f>
        <v>0</v>
      </c>
      <c r="E136" s="259">
        <f t="shared" si="30"/>
        <v>0</v>
      </c>
      <c r="F136" s="183">
        <v>0</v>
      </c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'[5]Sch C'!D145</f>
        <v>0</v>
      </c>
      <c r="D137" s="273">
        <f>'[5]Sch C'!F145</f>
        <v>0</v>
      </c>
      <c r="E137" s="259">
        <f t="shared" si="30"/>
        <v>0</v>
      </c>
      <c r="F137" s="183">
        <v>0</v>
      </c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'[5]Sch C'!D146</f>
        <v>0</v>
      </c>
      <c r="D138" s="273">
        <f>'[5]Sch C'!F146</f>
        <v>0</v>
      </c>
      <c r="E138" s="259">
        <f t="shared" si="30"/>
        <v>0</v>
      </c>
      <c r="F138" s="183">
        <v>0</v>
      </c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84258</v>
      </c>
      <c r="D139" s="273">
        <f>SUM(D121:D138)</f>
        <v>7010</v>
      </c>
      <c r="E139" s="182">
        <f>SUM(E121:E138)</f>
        <v>91268</v>
      </c>
      <c r="F139" s="182">
        <f>SUM(F121:F138)</f>
        <v>200832</v>
      </c>
      <c r="G139" s="183">
        <f t="shared" si="33"/>
        <v>292100</v>
      </c>
      <c r="H139" s="181">
        <f t="shared" si="31"/>
        <v>7.5847421743078861E-2</v>
      </c>
      <c r="J139" s="136"/>
      <c r="K139" s="136"/>
      <c r="M139" s="237">
        <f t="shared" si="32"/>
        <v>12.623163353500432</v>
      </c>
      <c r="N139" s="243">
        <f>SUMMARY!M139</f>
        <v>37.231450929246826</v>
      </c>
      <c r="O139" s="238">
        <f>M139/N139-1</f>
        <v>-0.66095429969976216</v>
      </c>
      <c r="P139" s="178">
        <f>IF(O139&gt;=0.2,1.6,0)</f>
        <v>0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'[5]Sch C'!D150</f>
        <v>0</v>
      </c>
      <c r="D142" s="273">
        <f>'[5]Sch C'!F150</f>
        <v>0</v>
      </c>
      <c r="E142" s="259">
        <f t="shared" ref="E142:E146" si="34">SUM(C142:D142)</f>
        <v>0</v>
      </c>
      <c r="F142" s="180">
        <v>0</v>
      </c>
      <c r="G142" s="180">
        <f t="shared" ref="G142:G147" si="35">IF(ISERROR(E142+F142),"",(E142+F142))</f>
        <v>0</v>
      </c>
      <c r="H142" s="181">
        <f t="shared" ref="H142:H147" si="36">IF(ISERROR(G142/$G$183),"",(G142/$G$183))</f>
        <v>0</v>
      </c>
      <c r="J142" s="261">
        <v>0</v>
      </c>
      <c r="K142" s="261">
        <v>0</v>
      </c>
      <c r="M142" s="237">
        <f t="shared" ref="M142:M147" si="37">IFERROR(G142/G$198,0)</f>
        <v>0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'[5]Sch C'!D151</f>
        <v>0</v>
      </c>
      <c r="D143" s="273">
        <f>'[5]Sch C'!F151</f>
        <v>0</v>
      </c>
      <c r="E143" s="259">
        <f t="shared" si="34"/>
        <v>0</v>
      </c>
      <c r="F143" s="183">
        <v>0</v>
      </c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'[5]Sch C'!D152</f>
        <v>0</v>
      </c>
      <c r="D144" s="273">
        <f>'[5]Sch C'!F152</f>
        <v>0</v>
      </c>
      <c r="E144" s="259">
        <f t="shared" si="34"/>
        <v>0</v>
      </c>
      <c r="F144" s="183">
        <v>0</v>
      </c>
      <c r="G144" s="183">
        <f t="shared" si="35"/>
        <v>0</v>
      </c>
      <c r="H144" s="181">
        <f t="shared" si="36"/>
        <v>0</v>
      </c>
      <c r="J144" s="136"/>
      <c r="K144" s="136"/>
      <c r="M144" s="237">
        <f t="shared" si="37"/>
        <v>0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'[5]Sch C'!D153</f>
        <v>0</v>
      </c>
      <c r="D145" s="273">
        <f>'[5]Sch C'!F153</f>
        <v>0</v>
      </c>
      <c r="E145" s="259">
        <f t="shared" si="34"/>
        <v>0</v>
      </c>
      <c r="F145" s="183">
        <v>0</v>
      </c>
      <c r="G145" s="183">
        <f t="shared" si="35"/>
        <v>0</v>
      </c>
      <c r="H145" s="181">
        <f t="shared" si="36"/>
        <v>0</v>
      </c>
      <c r="J145" s="136"/>
      <c r="K145" s="136"/>
      <c r="M145" s="237">
        <f t="shared" si="37"/>
        <v>0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'[5]Sch C'!D154</f>
        <v>1053</v>
      </c>
      <c r="D146" s="273">
        <f>'[5]Sch C'!F154</f>
        <v>0</v>
      </c>
      <c r="E146" s="259">
        <f t="shared" si="34"/>
        <v>1053</v>
      </c>
      <c r="F146" s="183">
        <v>5060</v>
      </c>
      <c r="G146" s="183">
        <f t="shared" si="35"/>
        <v>6113</v>
      </c>
      <c r="H146" s="181">
        <f t="shared" si="36"/>
        <v>1.5873169774578606E-3</v>
      </c>
      <c r="J146" s="136"/>
      <c r="K146" s="136"/>
      <c r="M146" s="237">
        <f t="shared" si="37"/>
        <v>0.26417458945548833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1053</v>
      </c>
      <c r="D147" s="273">
        <f>SUM(D142:D146)</f>
        <v>0</v>
      </c>
      <c r="E147" s="183">
        <f>SUM(E142:E146)</f>
        <v>1053</v>
      </c>
      <c r="F147" s="183">
        <f>SUM(F142:F146)</f>
        <v>5060</v>
      </c>
      <c r="G147" s="183">
        <f t="shared" si="35"/>
        <v>6113</v>
      </c>
      <c r="H147" s="204">
        <f t="shared" si="36"/>
        <v>1.5873169774578606E-3</v>
      </c>
      <c r="J147" s="136"/>
      <c r="K147" s="136"/>
      <c r="M147" s="237">
        <f t="shared" si="37"/>
        <v>0.26417458945548833</v>
      </c>
      <c r="N147" s="243">
        <f>SUMMARY!M147</f>
        <v>3.5319826687546212</v>
      </c>
      <c r="O147" s="238">
        <f>M147/N147-1</f>
        <v>-0.92520501536078137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'[5]Sch C'!D158</f>
        <v>349240</v>
      </c>
      <c r="D150" s="273">
        <f>'[5]Sch C'!F158</f>
        <v>0</v>
      </c>
      <c r="E150" s="259">
        <f t="shared" ref="E150:E163" si="38">SUM(C150:D150)</f>
        <v>349240</v>
      </c>
      <c r="F150" s="183">
        <v>694383</v>
      </c>
      <c r="G150" s="183">
        <f>IF(ISERROR(E150+F150),"",(E150+F150))</f>
        <v>1043623</v>
      </c>
      <c r="H150" s="181">
        <f>IF(ISERROR(G150/$G$183),"",(G150/$G$183))</f>
        <v>0.27098977686332487</v>
      </c>
      <c r="J150" s="261">
        <f>25828.7533333333+52911</f>
        <v>78739.753333333298</v>
      </c>
      <c r="K150" s="261">
        <f>26917.02+55141</f>
        <v>82058.02</v>
      </c>
      <c r="M150" s="237">
        <f t="shared" ref="M150:M164" si="39">IFERROR(G150/G$198,0)</f>
        <v>45.100388936905787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'[5]Sch C'!D159</f>
        <v>0</v>
      </c>
      <c r="D151" s="273">
        <f>'[5]Sch C'!F159</f>
        <v>35497</v>
      </c>
      <c r="E151" s="259">
        <f t="shared" si="38"/>
        <v>35497</v>
      </c>
      <c r="F151" s="183">
        <v>70541</v>
      </c>
      <c r="G151" s="183">
        <f>IF(ISERROR(E151+F151),"",(E151+F151))</f>
        <v>106038</v>
      </c>
      <c r="H151" s="181">
        <f>IF(ISERROR(G151/$G$183),"",(G151/$G$183))</f>
        <v>2.7534094169094817E-2</v>
      </c>
      <c r="J151" s="136"/>
      <c r="K151" s="136"/>
      <c r="M151" s="237">
        <f t="shared" si="39"/>
        <v>4.5824546240276574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'[5]Sch C'!D160</f>
        <v>0</v>
      </c>
      <c r="D152" s="273">
        <f>'[5]Sch C'!F160</f>
        <v>0</v>
      </c>
      <c r="E152" s="259">
        <f t="shared" si="38"/>
        <v>0</v>
      </c>
      <c r="F152" s="183">
        <v>0</v>
      </c>
      <c r="G152" s="183">
        <f t="shared" ref="G152:G163" si="40">IF(ISERROR(E152+F152),"",(E152+F152))</f>
        <v>0</v>
      </c>
      <c r="H152" s="181">
        <f t="shared" ref="H152:H163" si="41">IF(ISERROR(G152/$G$183),"",(G152/$G$183))</f>
        <v>0</v>
      </c>
      <c r="J152" s="136"/>
      <c r="K152" s="136"/>
      <c r="M152" s="237">
        <f t="shared" si="39"/>
        <v>0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'[5]Sch C'!D161</f>
        <v>0</v>
      </c>
      <c r="D153" s="273">
        <f>'[5]Sch C'!F161</f>
        <v>0</v>
      </c>
      <c r="E153" s="259">
        <f t="shared" si="38"/>
        <v>0</v>
      </c>
      <c r="F153" s="183">
        <v>0</v>
      </c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'[5]Sch C'!D162</f>
        <v>1170</v>
      </c>
      <c r="D154" s="273">
        <f>'[5]Sch C'!F162</f>
        <v>0</v>
      </c>
      <c r="E154" s="259">
        <f t="shared" si="38"/>
        <v>1170</v>
      </c>
      <c r="F154" s="183">
        <v>2385</v>
      </c>
      <c r="G154" s="183">
        <f t="shared" si="40"/>
        <v>3555</v>
      </c>
      <c r="H154" s="181">
        <f t="shared" si="41"/>
        <v>9.2310025435345892E-4</v>
      </c>
      <c r="J154" s="206"/>
      <c r="K154" s="206"/>
      <c r="M154" s="237">
        <f t="shared" si="39"/>
        <v>0.15363007778738116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'[5]Sch C'!D163</f>
        <v>293</v>
      </c>
      <c r="D155" s="273">
        <f>'[5]Sch C'!F163</f>
        <v>0</v>
      </c>
      <c r="E155" s="259">
        <f t="shared" si="38"/>
        <v>293</v>
      </c>
      <c r="F155" s="183">
        <v>653</v>
      </c>
      <c r="G155" s="183">
        <f t="shared" si="40"/>
        <v>946</v>
      </c>
      <c r="H155" s="181">
        <f t="shared" si="41"/>
        <v>2.4564074278997811E-4</v>
      </c>
      <c r="J155" s="206"/>
      <c r="K155" s="206"/>
      <c r="M155" s="237">
        <f t="shared" si="39"/>
        <v>4.088159031979257E-2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'[5]Sch C'!D164</f>
        <v>0</v>
      </c>
      <c r="D156" s="273">
        <f>'[5]Sch C'!F164</f>
        <v>0</v>
      </c>
      <c r="E156" s="259">
        <f t="shared" si="38"/>
        <v>0</v>
      </c>
      <c r="F156" s="183">
        <v>0</v>
      </c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'[5]Sch C'!D165</f>
        <v>756</v>
      </c>
      <c r="D157" s="273">
        <f>'[5]Sch C'!F165</f>
        <v>0</v>
      </c>
      <c r="E157" s="259">
        <f t="shared" si="38"/>
        <v>756</v>
      </c>
      <c r="F157" s="183">
        <v>1728</v>
      </c>
      <c r="G157" s="183">
        <f t="shared" si="40"/>
        <v>2484</v>
      </c>
      <c r="H157" s="181">
        <f t="shared" si="41"/>
        <v>6.4500169671279659E-4</v>
      </c>
      <c r="J157" s="206"/>
      <c r="K157" s="206"/>
      <c r="M157" s="237">
        <f t="shared" si="39"/>
        <v>0.10734658599827139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'[5]Sch C'!D166</f>
        <v>5294</v>
      </c>
      <c r="D158" s="273">
        <f>'[5]Sch C'!F166</f>
        <v>0</v>
      </c>
      <c r="E158" s="259">
        <f t="shared" si="38"/>
        <v>5294</v>
      </c>
      <c r="F158" s="183">
        <v>5276</v>
      </c>
      <c r="G158" s="183">
        <f t="shared" si="40"/>
        <v>10570</v>
      </c>
      <c r="H158" s="181">
        <f t="shared" si="41"/>
        <v>2.7446328237738567E-3</v>
      </c>
      <c r="J158" s="206"/>
      <c r="K158" s="206"/>
      <c r="M158" s="237">
        <f t="shared" si="39"/>
        <v>0.45678478824546243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'[5]Sch C'!D167</f>
        <v>151073</v>
      </c>
      <c r="D159" s="273">
        <f>'[5]Sch C'!F167</f>
        <v>0</v>
      </c>
      <c r="E159" s="259">
        <f t="shared" si="38"/>
        <v>151073</v>
      </c>
      <c r="F159" s="183">
        <v>266005</v>
      </c>
      <c r="G159" s="183">
        <f t="shared" si="40"/>
        <v>417078</v>
      </c>
      <c r="H159" s="181">
        <f t="shared" si="41"/>
        <v>0.10829952401834934</v>
      </c>
      <c r="J159" s="206"/>
      <c r="K159" s="206"/>
      <c r="M159" s="237">
        <f t="shared" si="39"/>
        <v>18.024114088159031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'[5]Sch C'!D168</f>
        <v>0</v>
      </c>
      <c r="D160" s="273">
        <f>'[5]Sch C'!F168</f>
        <v>0</v>
      </c>
      <c r="E160" s="259">
        <f t="shared" si="38"/>
        <v>0</v>
      </c>
      <c r="F160" s="183">
        <v>0</v>
      </c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'[5]Sch C'!D169</f>
        <v>62</v>
      </c>
      <c r="D161" s="273">
        <f>'[5]Sch C'!F169</f>
        <v>0</v>
      </c>
      <c r="E161" s="259">
        <f t="shared" si="38"/>
        <v>62</v>
      </c>
      <c r="F161" s="183">
        <v>0</v>
      </c>
      <c r="G161" s="183">
        <f t="shared" si="40"/>
        <v>62</v>
      </c>
      <c r="H161" s="181">
        <f t="shared" si="41"/>
        <v>1.6099076165939369E-5</v>
      </c>
      <c r="J161" s="136"/>
      <c r="K161" s="136"/>
      <c r="M161" s="237">
        <f t="shared" si="39"/>
        <v>2.6793431287813309E-3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'[5]Sch C'!D170</f>
        <v>2776</v>
      </c>
      <c r="D162" s="273">
        <f>'[5]Sch C'!F170</f>
        <v>0</v>
      </c>
      <c r="E162" s="259">
        <f t="shared" si="38"/>
        <v>2776</v>
      </c>
      <c r="F162" s="183">
        <v>7338</v>
      </c>
      <c r="G162" s="183">
        <f t="shared" si="40"/>
        <v>10114</v>
      </c>
      <c r="H162" s="181">
        <f t="shared" si="41"/>
        <v>2.6262267151985607E-3</v>
      </c>
      <c r="J162" s="136"/>
      <c r="K162" s="136"/>
      <c r="M162" s="237">
        <f t="shared" si="39"/>
        <v>0.43707865168539328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'[5]Sch C'!D171</f>
        <v>0</v>
      </c>
      <c r="D163" s="273">
        <f>'[5]Sch C'!F171</f>
        <v>0</v>
      </c>
      <c r="E163" s="259">
        <f t="shared" si="38"/>
        <v>0</v>
      </c>
      <c r="F163" s="183">
        <v>0</v>
      </c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510664</v>
      </c>
      <c r="D164" s="273">
        <f>SUM(D150:D163)</f>
        <v>35497</v>
      </c>
      <c r="E164" s="183">
        <f>SUM(E150:E163)</f>
        <v>546161</v>
      </c>
      <c r="F164" s="183">
        <f>SUM(F150:F163)</f>
        <v>1048309</v>
      </c>
      <c r="G164" s="183">
        <f>IF(ISERROR(E164+F164),"",(E164+F164))</f>
        <v>1594470</v>
      </c>
      <c r="H164" s="181">
        <f>IF(ISERROR(G164/$G$183),"",(G164/$G$183))</f>
        <v>0.41402409635976362</v>
      </c>
      <c r="J164" s="136"/>
      <c r="K164" s="136"/>
      <c r="M164" s="237">
        <f t="shared" si="39"/>
        <v>68.905358686257557</v>
      </c>
      <c r="N164" s="243">
        <f>SUMMARY!M164</f>
        <v>48.166333206280392</v>
      </c>
      <c r="O164" s="238">
        <f>M164/N164-1</f>
        <v>0.43057098391025139</v>
      </c>
      <c r="P164" s="178">
        <f>IF(O164&gt;=0.2,3.5,0)</f>
        <v>3.5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'[5]Sch C'!D186</f>
        <v>0</v>
      </c>
      <c r="D167" s="273">
        <f>'[5]Sch C'!F186</f>
        <v>0</v>
      </c>
      <c r="E167" s="259">
        <f t="shared" ref="E167:E180" si="42">SUM(C167:D167)</f>
        <v>0</v>
      </c>
      <c r="F167" s="180">
        <v>0</v>
      </c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'[5]Sch C'!D187</f>
        <v>0</v>
      </c>
      <c r="D168" s="273">
        <f>'[5]Sch C'!F187</f>
        <v>0</v>
      </c>
      <c r="E168" s="259">
        <f t="shared" si="42"/>
        <v>0</v>
      </c>
      <c r="F168" s="183">
        <v>0</v>
      </c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'[5]Sch C'!D188</f>
        <v>0</v>
      </c>
      <c r="D169" s="273">
        <f>'[5]Sch C'!F188</f>
        <v>0</v>
      </c>
      <c r="E169" s="259">
        <f t="shared" si="42"/>
        <v>0</v>
      </c>
      <c r="F169" s="183">
        <v>0</v>
      </c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'[5]Sch C'!D189</f>
        <v>1607</v>
      </c>
      <c r="D170" s="273">
        <f>'[5]Sch C'!F189</f>
        <v>0</v>
      </c>
      <c r="E170" s="259">
        <f t="shared" si="42"/>
        <v>1607</v>
      </c>
      <c r="F170" s="183">
        <v>4061</v>
      </c>
      <c r="G170" s="183">
        <f>IF(ISERROR(E170+F170),"",(E170+F170))</f>
        <v>5668</v>
      </c>
      <c r="H170" s="181">
        <f>IF(ISERROR(G170/$G$183),"",(G170/$G$183))</f>
        <v>1.4717671565894247E-3</v>
      </c>
      <c r="I170" s="215"/>
      <c r="J170" s="211"/>
      <c r="K170" s="42"/>
      <c r="M170" s="237">
        <f t="shared" si="43"/>
        <v>0.24494382022471911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'[5]Sch C'!D190</f>
        <v>0</v>
      </c>
      <c r="D171" s="273">
        <f>'[5]Sch C'!F190</f>
        <v>0</v>
      </c>
      <c r="E171" s="259">
        <f t="shared" si="42"/>
        <v>0</v>
      </c>
      <c r="F171" s="183">
        <v>0</v>
      </c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'[5]Sch C'!D191</f>
        <v>3720</v>
      </c>
      <c r="D172" s="273">
        <f>'[5]Sch C'!F191</f>
        <v>0</v>
      </c>
      <c r="E172" s="259">
        <f t="shared" si="42"/>
        <v>3720</v>
      </c>
      <c r="F172" s="183">
        <v>11360</v>
      </c>
      <c r="G172" s="183">
        <f t="shared" ref="G172:G181" si="44">IF(ISERROR(E172+F172),"",(E172+F172))</f>
        <v>15080</v>
      </c>
      <c r="H172" s="181">
        <f t="shared" ref="H172:H180" si="45">IF(ISERROR(G172/$G$183),"",(G172/$G$183))</f>
        <v>3.9157107835865431E-3</v>
      </c>
      <c r="I172" s="215"/>
      <c r="J172" s="211"/>
      <c r="K172" s="42"/>
      <c r="M172" s="237">
        <f t="shared" si="43"/>
        <v>0.651685393258427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'[5]Sch C'!D192</f>
        <v>3170</v>
      </c>
      <c r="D173" s="273">
        <f>'[5]Sch C'!F192</f>
        <v>0</v>
      </c>
      <c r="E173" s="259">
        <f t="shared" si="42"/>
        <v>3170</v>
      </c>
      <c r="F173" s="183">
        <v>2599</v>
      </c>
      <c r="G173" s="183">
        <f t="shared" si="44"/>
        <v>5769</v>
      </c>
      <c r="H173" s="181">
        <f t="shared" si="45"/>
        <v>1.4979930709887776E-3</v>
      </c>
      <c r="I173" s="215"/>
      <c r="J173" s="211"/>
      <c r="K173" s="42"/>
      <c r="M173" s="237">
        <f t="shared" si="43"/>
        <v>0.24930855661192741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'[5]Sch C'!D193</f>
        <v>0</v>
      </c>
      <c r="D174" s="273">
        <f>'[5]Sch C'!F193</f>
        <v>0</v>
      </c>
      <c r="E174" s="259">
        <f t="shared" si="42"/>
        <v>0</v>
      </c>
      <c r="F174" s="183">
        <v>0</v>
      </c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'[5]Sch C'!D194</f>
        <v>0</v>
      </c>
      <c r="D175" s="273">
        <f>'[5]Sch C'!F194</f>
        <v>0</v>
      </c>
      <c r="E175" s="259">
        <f t="shared" si="42"/>
        <v>0</v>
      </c>
      <c r="F175" s="183">
        <v>0</v>
      </c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'[5]Sch C'!D195</f>
        <v>0</v>
      </c>
      <c r="D176" s="273">
        <f>'[5]Sch C'!F195</f>
        <v>0</v>
      </c>
      <c r="E176" s="259">
        <f t="shared" si="42"/>
        <v>0</v>
      </c>
      <c r="F176" s="183">
        <v>0</v>
      </c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'[5]Sch C'!D196</f>
        <v>0</v>
      </c>
      <c r="D177" s="273">
        <f>'[5]Sch C'!F196</f>
        <v>0</v>
      </c>
      <c r="E177" s="259">
        <f t="shared" si="42"/>
        <v>0</v>
      </c>
      <c r="F177" s="183">
        <v>0</v>
      </c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'[5]Sch C'!D197</f>
        <v>0</v>
      </c>
      <c r="D178" s="273">
        <f>'[5]Sch C'!F197</f>
        <v>0</v>
      </c>
      <c r="E178" s="259">
        <f t="shared" si="42"/>
        <v>0</v>
      </c>
      <c r="F178" s="183">
        <v>60</v>
      </c>
      <c r="G178" s="183">
        <f t="shared" si="44"/>
        <v>60</v>
      </c>
      <c r="H178" s="181">
        <f t="shared" si="45"/>
        <v>1.5579751128328421E-5</v>
      </c>
      <c r="I178" s="215"/>
      <c r="J178" s="211"/>
      <c r="K178" s="42"/>
      <c r="M178" s="237">
        <f t="shared" si="43"/>
        <v>2.5929127052722557E-3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'[5]Sch C'!D198</f>
        <v>0</v>
      </c>
      <c r="D179" s="273">
        <f>'[5]Sch C'!F198</f>
        <v>0</v>
      </c>
      <c r="E179" s="259">
        <f t="shared" si="42"/>
        <v>0</v>
      </c>
      <c r="F179" s="183">
        <v>0</v>
      </c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'[5]Sch C'!D199</f>
        <v>0</v>
      </c>
      <c r="D180" s="273">
        <f>'[5]Sch C'!F199</f>
        <v>0</v>
      </c>
      <c r="E180" s="259">
        <f t="shared" si="42"/>
        <v>0</v>
      </c>
      <c r="F180" s="183">
        <v>0</v>
      </c>
      <c r="G180" s="183">
        <f t="shared" si="44"/>
        <v>0</v>
      </c>
      <c r="H180" s="181">
        <f t="shared" si="45"/>
        <v>0</v>
      </c>
      <c r="I180" s="215"/>
      <c r="J180" s="211"/>
      <c r="K180" s="42"/>
      <c r="M180" s="237">
        <f t="shared" si="43"/>
        <v>0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8497</v>
      </c>
      <c r="D181" s="273">
        <f>SUM(D167:D180)</f>
        <v>0</v>
      </c>
      <c r="E181" s="218">
        <f>SUM(E167:E180)</f>
        <v>8497</v>
      </c>
      <c r="F181" s="218">
        <f>SUM(F167:F180)</f>
        <v>18080</v>
      </c>
      <c r="G181" s="183">
        <f t="shared" si="44"/>
        <v>26577</v>
      </c>
      <c r="H181" s="181">
        <f>IF(ISERROR(G181/$G$183),"",(G181/$G$183))</f>
        <v>6.9010507622930739E-3</v>
      </c>
      <c r="I181" s="219"/>
      <c r="J181" s="211"/>
      <c r="K181" s="211"/>
      <c r="M181" s="237">
        <f t="shared" si="43"/>
        <v>1.1485306828003456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1445695</v>
      </c>
      <c r="D183" s="273">
        <f>SUM(D21:D181)/2</f>
        <v>-1100.3400000000038</v>
      </c>
      <c r="E183" s="258">
        <f>SUM(E21:E181)/2</f>
        <v>1444594.6600000001</v>
      </c>
      <c r="F183" s="179">
        <f>SUM(F21:F181)/2</f>
        <v>2406558</v>
      </c>
      <c r="G183" s="179">
        <f>SUM(G21:G181)/2</f>
        <v>3851152.66</v>
      </c>
      <c r="H183" s="181">
        <f>IF(ISERROR(G183/$G$183),"",(G183/$G$183))</f>
        <v>1</v>
      </c>
      <c r="J183" s="261">
        <f>SUM(J21:J181)</f>
        <v>112452.83666666664</v>
      </c>
      <c r="K183" s="261">
        <f>SUM(K21:K181)</f>
        <v>117966.13666666666</v>
      </c>
      <c r="M183" s="237">
        <f>IFERROR(G183/G$198,0)</f>
        <v>166.42837770095073</v>
      </c>
      <c r="N183" s="243">
        <f>SUMMARY!M183</f>
        <v>169.52310231129192</v>
      </c>
      <c r="P183" s="178">
        <f>SUM(P57:P181)</f>
        <v>3.7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'[5]Sch C'!D204</f>
        <v>1445695</v>
      </c>
      <c r="D186" s="28"/>
      <c r="E186" s="28"/>
      <c r="F186" s="285" t="s">
        <v>390</v>
      </c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5" t="s">
        <v>399</v>
      </c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285" t="s">
        <v>391</v>
      </c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-89549</v>
      </c>
      <c r="D190" s="273">
        <f>D17-D183</f>
        <v>4577.3400000000038</v>
      </c>
      <c r="E190" s="259">
        <f>E17-E183</f>
        <v>-84971.660000000149</v>
      </c>
      <c r="F190" s="180">
        <f>F17-F183</f>
        <v>314414</v>
      </c>
      <c r="G190" s="180">
        <f>G17-G183</f>
        <v>229442.33999999985</v>
      </c>
      <c r="J190" s="136"/>
      <c r="K190" s="136"/>
      <c r="M190" s="237">
        <f>IFERROR(G190/G$198,0)</f>
        <v>9.915399308556605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'[5]Sch D'!C9</f>
        <v>7519</v>
      </c>
      <c r="D194" s="313"/>
      <c r="E194" s="264">
        <f>C194+D194</f>
        <v>7519</v>
      </c>
      <c r="F194" s="224">
        <v>14538</v>
      </c>
      <c r="G194" s="225">
        <f>E194+F194</f>
        <v>22057</v>
      </c>
      <c r="H194" s="181">
        <f>IF(ISERROR(G194/$G$198),"",(G194/$G$198))</f>
        <v>0.95319792566983574</v>
      </c>
      <c r="I194" s="43"/>
      <c r="J194" s="136"/>
      <c r="K194" s="136"/>
    </row>
    <row r="195" spans="1:11">
      <c r="A195" s="42"/>
      <c r="B195" s="116" t="s">
        <v>249</v>
      </c>
      <c r="C195" s="282">
        <f>'[5]Sch D'!D9</f>
        <v>246</v>
      </c>
      <c r="D195" s="313"/>
      <c r="E195" s="227">
        <f>C195+D195</f>
        <v>246</v>
      </c>
      <c r="F195" s="226">
        <v>837</v>
      </c>
      <c r="G195" s="227">
        <f>E195+F195</f>
        <v>1083</v>
      </c>
      <c r="H195" s="181">
        <f>IF(ISERROR(G195/$G$198),"",(G195/$G$198))</f>
        <v>4.6802074330164214E-2</v>
      </c>
      <c r="I195" s="43"/>
      <c r="J195" s="136"/>
      <c r="K195" s="136"/>
    </row>
    <row r="196" spans="1:11">
      <c r="A196" s="42"/>
      <c r="B196" s="116" t="s">
        <v>87</v>
      </c>
      <c r="C196" s="282">
        <f>'[5]Sch D'!E9</f>
        <v>0</v>
      </c>
      <c r="D196" s="313"/>
      <c r="E196" s="227">
        <f>C196+D196</f>
        <v>0</v>
      </c>
      <c r="F196" s="226">
        <v>0</v>
      </c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'[5]Sch D'!F9</f>
        <v>0</v>
      </c>
      <c r="D197" s="313"/>
      <c r="E197" s="227">
        <f>C197+D197</f>
        <v>0</v>
      </c>
      <c r="F197" s="226">
        <v>0</v>
      </c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7765</v>
      </c>
      <c r="D198" s="313"/>
      <c r="E198" s="265">
        <f>SUM(E194:E197)</f>
        <v>7765</v>
      </c>
      <c r="F198" s="229">
        <f>SUM(F194:F197)</f>
        <v>15375</v>
      </c>
      <c r="G198" s="229">
        <f>SUM(G194:G197)</f>
        <v>23140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'[5]Sch D'!G22</f>
        <v>66</v>
      </c>
      <c r="D201" s="312"/>
      <c r="E201" s="264">
        <f>C201+D201</f>
        <v>66</v>
      </c>
      <c r="F201" s="224"/>
      <c r="G201" s="231">
        <f t="shared" ref="G201:G202" si="46">E201+F201</f>
        <v>66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'[5]Sch D'!G24</f>
        <v>66</v>
      </c>
      <c r="D202" s="312"/>
      <c r="E202" s="264">
        <f>C202+D202</f>
        <v>66</v>
      </c>
      <c r="F202" s="226"/>
      <c r="G202" s="231">
        <f t="shared" si="46"/>
        <v>66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$C$4-$C$3+1-243</f>
        <v>123</v>
      </c>
      <c r="D203" s="36"/>
      <c r="E203" s="231">
        <f>C203</f>
        <v>123</v>
      </c>
      <c r="F203" s="339">
        <v>243</v>
      </c>
      <c r="G203" s="231">
        <f>E203+F203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'[5]Sch D'!G28</f>
        <v>8118</v>
      </c>
      <c r="D205" s="283"/>
      <c r="E205" s="260">
        <f>E201*E203</f>
        <v>8118</v>
      </c>
      <c r="F205" s="260">
        <f>G201*F203</f>
        <v>16038</v>
      </c>
      <c r="G205" s="224">
        <f>G201*G203</f>
        <v>24156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'[5]Sch D'!G30</f>
        <v>0.95651638334565159</v>
      </c>
      <c r="D206" s="36"/>
      <c r="E206" s="266">
        <f>IFERROR(E198/E205,"0")</f>
        <v>0.95651638334565159</v>
      </c>
      <c r="F206" s="337">
        <f>IFERROR(F198/F205,"")</f>
        <v>0.95866068088290313</v>
      </c>
      <c r="G206" s="233">
        <f>G198/G205</f>
        <v>0.957940056300712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'[5]Sch D'!G32</f>
        <v>0.95651638334565159</v>
      </c>
      <c r="D207" s="36"/>
      <c r="E207" s="266">
        <f>IFERROR((E194+E195)/E205,"0")</f>
        <v>0.95651638334565159</v>
      </c>
      <c r="F207" s="337">
        <f>IFERROR(((F194+F195)/F205),"")</f>
        <v>0.95866068088290313</v>
      </c>
      <c r="G207" s="233">
        <f>(G194+G195)/G205</f>
        <v>0.957940056300712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'[5]Sch D'!G34</f>
        <v>1</v>
      </c>
      <c r="D208" s="36"/>
      <c r="E208" s="266">
        <f>IFERROR(E207/E206,"0")</f>
        <v>1</v>
      </c>
      <c r="F208" s="337">
        <f>IFERROR(F207/F206,"")</f>
        <v>1</v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phoneticPr fontId="0" type="noConversion"/>
  <conditionalFormatting sqref="D2">
    <cfRule type="cellIs" dxfId="33" priority="2" stopIfTrue="1" operator="equal">
      <formula>0</formula>
    </cfRule>
  </conditionalFormatting>
  <conditionalFormatting sqref="C2">
    <cfRule type="cellIs" dxfId="32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6" man="1"/>
    <brk id="122" min="1" max="26" man="1"/>
    <brk id="179" min="1" max="26" man="1"/>
    <brk id="3284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P213"/>
  <sheetViews>
    <sheetView showGridLines="0" topLeftCell="A196" zoomScaleNormal="100" workbookViewId="0">
      <selection activeCell="H201" sqref="H201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3" t="s">
        <v>361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52" t="s">
        <v>379</v>
      </c>
      <c r="G4" s="167"/>
    </row>
    <row r="5" spans="1:16">
      <c r="A5" s="24"/>
      <c r="B5" s="164"/>
      <c r="C5" s="168"/>
      <c r="D5" s="25"/>
      <c r="E5" s="163"/>
      <c r="F5" s="285" t="s">
        <v>384</v>
      </c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'[6]Sch B'!E10</f>
        <v>3104052</v>
      </c>
      <c r="D12" s="273">
        <f>'[6]Sch B'!G10</f>
        <v>0</v>
      </c>
      <c r="E12" s="259">
        <f>SUM(C12:D12)</f>
        <v>3104052</v>
      </c>
      <c r="F12" s="180"/>
      <c r="G12" s="180">
        <f>IF(ISERROR(E12+F12)," ",(E12+F12))</f>
        <v>3104052</v>
      </c>
      <c r="H12" s="181">
        <f t="shared" ref="H12:H17" si="0">IF(ISERROR(G12/$G$17),"",(G12/$G$17))</f>
        <v>0.99586741197196094</v>
      </c>
      <c r="J12" s="246" t="s">
        <v>346</v>
      </c>
      <c r="K12" s="247">
        <f>G17</f>
        <v>3116933</v>
      </c>
      <c r="M12" s="237">
        <f>IFERROR(G12/G$194,0)</f>
        <v>191.45451181150929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'[6]Sch B'!E15</f>
        <v>0</v>
      </c>
      <c r="D13" s="273">
        <f>'[6]Sch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2687982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'[6]Sch B'!E20</f>
        <v>0</v>
      </c>
      <c r="D14" s="273">
        <f>'[6]Sch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16213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'[6]Sch B'!E25</f>
        <v>0</v>
      </c>
      <c r="D15" s="273">
        <f>'[6]Sch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45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'[6]Sch B'!E40</f>
        <v>12881</v>
      </c>
      <c r="D16" s="273">
        <f>'[6]Sch B'!G40</f>
        <v>0</v>
      </c>
      <c r="E16" s="259">
        <f t="shared" si="1"/>
        <v>12881</v>
      </c>
      <c r="F16" s="183"/>
      <c r="G16" s="183">
        <f>IF(ISERROR(E16+F16),"",(E16+F16))</f>
        <v>12881</v>
      </c>
      <c r="H16" s="184">
        <f t="shared" si="0"/>
        <v>4.132588028039101E-3</v>
      </c>
      <c r="J16" s="248" t="s">
        <v>350</v>
      </c>
      <c r="K16" s="249">
        <f>G205</f>
        <v>16470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3116933</v>
      </c>
      <c r="D17" s="273">
        <f>SUM(D12:D16)</f>
        <v>0</v>
      </c>
      <c r="E17" s="183">
        <f>SUM(E12:E16)</f>
        <v>3116933</v>
      </c>
      <c r="F17" s="183">
        <f>SUM(F12:F16)</f>
        <v>0</v>
      </c>
      <c r="G17" s="183">
        <f>IF(ISERROR(E17+F17),"",(E17+F17))</f>
        <v>3116933</v>
      </c>
      <c r="H17" s="184">
        <f t="shared" si="0"/>
        <v>1</v>
      </c>
      <c r="J17" s="248"/>
      <c r="K17" s="249"/>
      <c r="M17" s="237">
        <f>IFERROR(G17/G$198,0)</f>
        <v>192.24899771788071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94357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99068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'[6]Sch C'!D10</f>
        <v>50603</v>
      </c>
      <c r="D21" s="273">
        <f>'[6]Sch C'!F10</f>
        <v>8592</v>
      </c>
      <c r="E21" s="259">
        <f t="shared" ref="E21:E56" si="2">SUM(C21:D21)</f>
        <v>59195</v>
      </c>
      <c r="F21" s="180"/>
      <c r="G21" s="180">
        <f t="shared" ref="G21:G57" si="3">IF(ISERROR(E21+F21),"",(E21+F21))</f>
        <v>59195</v>
      </c>
      <c r="H21" s="181">
        <f>IF(ISERROR(G21/$G$183),"",(G21/$G$183))</f>
        <v>2.2022096874160617E-2</v>
      </c>
      <c r="J21" s="261">
        <v>2080</v>
      </c>
      <c r="K21" s="261">
        <v>2080</v>
      </c>
      <c r="M21" s="237">
        <f>IFERROR(G21/G$198,0)</f>
        <v>3.6510824646888298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'[6]Sch C'!D11</f>
        <v>0</v>
      </c>
      <c r="D22" s="273">
        <f>'[6]Sch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'[6]Sch C'!D12</f>
        <v>36948</v>
      </c>
      <c r="D23" s="273">
        <f>'[6]Sch C'!F12</f>
        <v>22114</v>
      </c>
      <c r="E23" s="259">
        <f t="shared" si="2"/>
        <v>59062</v>
      </c>
      <c r="F23" s="183"/>
      <c r="G23" s="183">
        <f t="shared" si="3"/>
        <v>59062</v>
      </c>
      <c r="H23" s="181">
        <f t="shared" si="4"/>
        <v>2.1972617376158025E-2</v>
      </c>
      <c r="J23" s="189">
        <v>1692</v>
      </c>
      <c r="K23" s="189">
        <v>1692</v>
      </c>
      <c r="M23" s="237">
        <f t="shared" si="5"/>
        <v>3.6428791710355886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'[6]Sch C'!D13</f>
        <v>326977</v>
      </c>
      <c r="D24" s="273">
        <f>'[6]Sch C'!F13</f>
        <v>-246941</v>
      </c>
      <c r="E24" s="259">
        <f t="shared" si="2"/>
        <v>80036</v>
      </c>
      <c r="F24" s="183"/>
      <c r="G24" s="183">
        <f t="shared" si="3"/>
        <v>80036</v>
      </c>
      <c r="H24" s="181">
        <f t="shared" si="4"/>
        <v>2.9775497008536517E-2</v>
      </c>
      <c r="J24" s="136"/>
      <c r="K24" s="136"/>
      <c r="M24" s="237">
        <f t="shared" si="5"/>
        <v>4.9365324122617649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'[6]Sch C'!D14</f>
        <v>0</v>
      </c>
      <c r="D25" s="273">
        <f>'[6]Sch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'[6]Sch C'!D15</f>
        <v>0</v>
      </c>
      <c r="D26" s="273">
        <f>'[6]Sch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'[6]Sch C'!D16</f>
        <v>0</v>
      </c>
      <c r="D27" s="273">
        <f>'[6]Sch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'[6]Sch C'!D17</f>
        <v>4048</v>
      </c>
      <c r="D28" s="273">
        <f>'[6]Sch C'!F17</f>
        <v>510</v>
      </c>
      <c r="E28" s="259">
        <f t="shared" si="2"/>
        <v>4558</v>
      </c>
      <c r="F28" s="183"/>
      <c r="G28" s="183">
        <f t="shared" si="3"/>
        <v>4558</v>
      </c>
      <c r="H28" s="181">
        <f t="shared" si="4"/>
        <v>1.6956958789158558E-3</v>
      </c>
      <c r="J28" s="136"/>
      <c r="K28" s="136"/>
      <c r="M28" s="237">
        <f t="shared" si="5"/>
        <v>0.28113242459754517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'[6]Sch C'!D18</f>
        <v>6</v>
      </c>
      <c r="D29" s="273">
        <f>'[6]Sch C'!F18</f>
        <v>2861</v>
      </c>
      <c r="E29" s="259">
        <f t="shared" si="2"/>
        <v>2867</v>
      </c>
      <c r="F29" s="183"/>
      <c r="G29" s="183">
        <f t="shared" si="3"/>
        <v>2867</v>
      </c>
      <c r="H29" s="181">
        <f t="shared" si="4"/>
        <v>1.0665994043114872E-3</v>
      </c>
      <c r="J29" s="136"/>
      <c r="K29" s="136"/>
      <c r="M29" s="237">
        <f t="shared" si="5"/>
        <v>0.17683340529204958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'[6]Sch C'!D19</f>
        <v>6339</v>
      </c>
      <c r="D30" s="273">
        <f>'[6]Sch C'!F19</f>
        <v>570</v>
      </c>
      <c r="E30" s="259">
        <f t="shared" si="2"/>
        <v>6909</v>
      </c>
      <c r="F30" s="183"/>
      <c r="G30" s="183">
        <f t="shared" si="3"/>
        <v>6909</v>
      </c>
      <c r="H30" s="181">
        <f t="shared" si="4"/>
        <v>2.5703297120293215E-3</v>
      </c>
      <c r="J30" s="136"/>
      <c r="K30" s="136"/>
      <c r="M30" s="237">
        <f t="shared" si="5"/>
        <v>0.42613951767100477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'[6]Sch C'!D20</f>
        <v>1564</v>
      </c>
      <c r="D31" s="273">
        <f>'[6]Sch C'!F20</f>
        <v>3021</v>
      </c>
      <c r="E31" s="259">
        <f t="shared" si="2"/>
        <v>4585</v>
      </c>
      <c r="F31" s="183"/>
      <c r="G31" s="183">
        <f t="shared" si="3"/>
        <v>4585</v>
      </c>
      <c r="H31" s="181">
        <f t="shared" si="4"/>
        <v>1.7057405890366826E-3</v>
      </c>
      <c r="J31" s="136"/>
      <c r="K31" s="136"/>
      <c r="M31" s="237">
        <f t="shared" si="5"/>
        <v>0.28279775488805281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'[6]Sch C'!D21</f>
        <v>1168</v>
      </c>
      <c r="D32" s="273">
        <f>'[6]Sch C'!F21</f>
        <v>6762</v>
      </c>
      <c r="E32" s="259">
        <f t="shared" si="2"/>
        <v>7930</v>
      </c>
      <c r="F32" s="183"/>
      <c r="G32" s="183">
        <f t="shared" si="3"/>
        <v>7930</v>
      </c>
      <c r="H32" s="181">
        <f t="shared" si="4"/>
        <v>2.9501685651168795E-3</v>
      </c>
      <c r="I32" s="279" t="s">
        <v>385</v>
      </c>
      <c r="J32" s="136"/>
      <c r="K32" s="136"/>
      <c r="M32" s="237">
        <f t="shared" si="5"/>
        <v>0.48911367421205204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'[6]Sch C'!D22</f>
        <v>0</v>
      </c>
      <c r="D33" s="273">
        <f>'[6]Sch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'[6]Sch C'!D23</f>
        <v>-4</v>
      </c>
      <c r="D34" s="273">
        <f>'[6]Sch C'!F23</f>
        <v>4103</v>
      </c>
      <c r="E34" s="259">
        <f t="shared" si="2"/>
        <v>4099</v>
      </c>
      <c r="F34" s="183"/>
      <c r="G34" s="183">
        <f t="shared" si="3"/>
        <v>4099</v>
      </c>
      <c r="H34" s="181">
        <f t="shared" si="4"/>
        <v>1.5249358068618018E-3</v>
      </c>
      <c r="J34" s="136"/>
      <c r="K34" s="136"/>
      <c r="M34" s="237">
        <f t="shared" si="5"/>
        <v>0.25282180965891571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'[6]Sch C'!D24</f>
        <v>2881</v>
      </c>
      <c r="D35" s="273">
        <f>'[6]Sch C'!F24</f>
        <v>8625</v>
      </c>
      <c r="E35" s="259">
        <f t="shared" si="2"/>
        <v>11506</v>
      </c>
      <c r="F35" s="183"/>
      <c r="G35" s="183">
        <f t="shared" si="3"/>
        <v>11506</v>
      </c>
      <c r="H35" s="181">
        <f t="shared" si="4"/>
        <v>4.2805346166752602E-3</v>
      </c>
      <c r="J35" s="136"/>
      <c r="K35" s="136"/>
      <c r="M35" s="237">
        <f t="shared" si="5"/>
        <v>0.70967741935483875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'[6]Sch C'!D25</f>
        <v>0</v>
      </c>
      <c r="D36" s="273">
        <f>'[6]Sch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'[6]Sch C'!D26</f>
        <v>135723</v>
      </c>
      <c r="D37" s="273">
        <f>'[6]Sch C'!F26</f>
        <v>0</v>
      </c>
      <c r="E37" s="259">
        <f t="shared" si="2"/>
        <v>135723</v>
      </c>
      <c r="F37" s="183"/>
      <c r="G37" s="183">
        <f t="shared" si="3"/>
        <v>135723</v>
      </c>
      <c r="H37" s="181">
        <f t="shared" si="4"/>
        <v>5.0492525619591201E-2</v>
      </c>
      <c r="J37" s="136"/>
      <c r="K37" s="136"/>
      <c r="M37" s="237">
        <f t="shared" si="5"/>
        <v>8.3712452969839024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'[6]Sch C'!D27</f>
        <v>2333</v>
      </c>
      <c r="D38" s="273">
        <f>'[6]Sch C'!F27</f>
        <v>-2333</v>
      </c>
      <c r="E38" s="259">
        <f t="shared" si="2"/>
        <v>0</v>
      </c>
      <c r="F38" s="183"/>
      <c r="G38" s="183">
        <f t="shared" si="3"/>
        <v>0</v>
      </c>
      <c r="H38" s="181">
        <f t="shared" si="4"/>
        <v>0</v>
      </c>
      <c r="J38" s="136"/>
      <c r="K38" s="136"/>
      <c r="M38" s="237">
        <f t="shared" si="5"/>
        <v>0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'[6]Sch C'!D28</f>
        <v>5831</v>
      </c>
      <c r="D39" s="273">
        <f>'[6]Sch C'!F28</f>
        <v>-5831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'[6]Sch C'!D29</f>
        <v>0</v>
      </c>
      <c r="D40" s="273">
        <f>'[6]Sch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'[6]Sch C'!D30</f>
        <v>0</v>
      </c>
      <c r="D41" s="273">
        <f>'[6]Sch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'[6]Sch C'!D31</f>
        <v>-19</v>
      </c>
      <c r="D42" s="273">
        <f>'[6]Sch C'!F31</f>
        <v>14347</v>
      </c>
      <c r="E42" s="259">
        <f t="shared" si="2"/>
        <v>14328</v>
      </c>
      <c r="F42" s="183"/>
      <c r="G42" s="183">
        <f t="shared" si="3"/>
        <v>14328</v>
      </c>
      <c r="H42" s="181">
        <f t="shared" si="4"/>
        <v>5.3303928374520363E-3</v>
      </c>
      <c r="J42" s="136"/>
      <c r="K42" s="136"/>
      <c r="M42" s="237">
        <f t="shared" si="5"/>
        <v>0.88373527416270892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'[6]Sch C'!D32</f>
        <v>-1329</v>
      </c>
      <c r="D43" s="273">
        <f>'[6]Sch C'!F32</f>
        <v>31682</v>
      </c>
      <c r="E43" s="259">
        <f t="shared" si="2"/>
        <v>30353</v>
      </c>
      <c r="F43" s="183"/>
      <c r="G43" s="183">
        <f t="shared" si="3"/>
        <v>30353</v>
      </c>
      <c r="H43" s="181">
        <f t="shared" si="4"/>
        <v>1.129211430731307E-2</v>
      </c>
      <c r="J43" s="136"/>
      <c r="K43" s="136"/>
      <c r="M43" s="237">
        <f t="shared" si="5"/>
        <v>1.872139641028804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'[6]Sch C'!D33</f>
        <v>0</v>
      </c>
      <c r="D44" s="273">
        <f>'[6]Sch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'[6]Sch C'!D34</f>
        <v>73</v>
      </c>
      <c r="D45" s="273">
        <f>'[6]Sch C'!F34</f>
        <v>6581</v>
      </c>
      <c r="E45" s="259">
        <f t="shared" si="2"/>
        <v>6654</v>
      </c>
      <c r="F45" s="183"/>
      <c r="G45" s="183">
        <f t="shared" si="3"/>
        <v>6654</v>
      </c>
      <c r="H45" s="181">
        <f t="shared" si="4"/>
        <v>2.4754630053326252E-3</v>
      </c>
      <c r="J45" s="136"/>
      <c r="K45" s="136"/>
      <c r="M45" s="237">
        <f t="shared" si="5"/>
        <v>0.41041139826065504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'[6]Sch C'!D35</f>
        <v>0</v>
      </c>
      <c r="D46" s="273">
        <f>'[6]Sch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'[6]Sch C'!D36</f>
        <v>0</v>
      </c>
      <c r="D47" s="273">
        <f>'[6]Sch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'[6]Sch C'!D37</f>
        <v>0</v>
      </c>
      <c r="D48" s="273">
        <f>'[6]Sch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'[6]Sch C'!D38</f>
        <v>0</v>
      </c>
      <c r="D49" s="273">
        <f>'[6]Sch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'[6]Sch C'!D39</f>
        <v>6062</v>
      </c>
      <c r="D50" s="273">
        <f>'[6]Sch C'!F39</f>
        <v>0</v>
      </c>
      <c r="E50" s="259">
        <f t="shared" si="2"/>
        <v>6062</v>
      </c>
      <c r="F50" s="183"/>
      <c r="G50" s="183">
        <f t="shared" si="3"/>
        <v>6062</v>
      </c>
      <c r="H50" s="181">
        <f t="shared" si="4"/>
        <v>2.2552234352759804E-3</v>
      </c>
      <c r="J50" s="136"/>
      <c r="K50" s="136"/>
      <c r="M50" s="237">
        <f t="shared" si="5"/>
        <v>0.37389748966878433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'[6]Sch C'!D40</f>
        <v>0</v>
      </c>
      <c r="D51" s="273">
        <f>'[6]Sch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'[6]Sch C'!D41</f>
        <v>0</v>
      </c>
      <c r="D52" s="273">
        <f>'[6]Sch C'!F41</f>
        <v>0</v>
      </c>
      <c r="E52" s="259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'[6]Sch C'!D42</f>
        <v>1382</v>
      </c>
      <c r="D53" s="273">
        <f>'[6]Sch C'!F42</f>
        <v>0</v>
      </c>
      <c r="E53" s="259">
        <f t="shared" si="2"/>
        <v>1382</v>
      </c>
      <c r="F53" s="183"/>
      <c r="G53" s="183">
        <f t="shared" si="3"/>
        <v>1382</v>
      </c>
      <c r="H53" s="181">
        <f t="shared" si="4"/>
        <v>5.1414034766601865E-4</v>
      </c>
      <c r="J53" s="136"/>
      <c r="K53" s="136"/>
      <c r="M53" s="237">
        <f t="shared" si="5"/>
        <v>8.5240239314130634E-2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'[6]Sch C'!D43</f>
        <v>0</v>
      </c>
      <c r="D54" s="273">
        <f>'[6]Sch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'[6]Sch C'!D44</f>
        <v>0</v>
      </c>
      <c r="D55" s="273">
        <f>'[6]Sch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'[6]Sch C'!D45</f>
        <v>5892</v>
      </c>
      <c r="D56" s="273">
        <f>'[6]Sch C'!F45</f>
        <v>-9624</v>
      </c>
      <c r="E56" s="259">
        <f t="shared" si="2"/>
        <v>-3732</v>
      </c>
      <c r="F56" s="183"/>
      <c r="G56" s="183">
        <f t="shared" si="3"/>
        <v>-3732</v>
      </c>
      <c r="H56" s="181">
        <f t="shared" si="4"/>
        <v>-1.388402154478713E-3</v>
      </c>
      <c r="J56" s="136"/>
      <c r="K56" s="136"/>
      <c r="M56" s="237">
        <f t="shared" si="5"/>
        <v>-0.23018565348794179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586478</v>
      </c>
      <c r="D57" s="273">
        <f>SUM(D21:D56)</f>
        <v>-154961</v>
      </c>
      <c r="E57" s="183">
        <f>SUM(E21:E56)</f>
        <v>431517</v>
      </c>
      <c r="F57" s="183">
        <f>SUM(F21:F56)</f>
        <v>0</v>
      </c>
      <c r="G57" s="183">
        <f t="shared" si="3"/>
        <v>431517</v>
      </c>
      <c r="H57" s="181">
        <f t="shared" si="4"/>
        <v>0.16053567322995466</v>
      </c>
      <c r="J57" s="136"/>
      <c r="K57" s="136"/>
      <c r="M57" s="237">
        <f t="shared" si="5"/>
        <v>26.615493739591685</v>
      </c>
      <c r="N57" s="243">
        <f>SUMMARY!M57</f>
        <v>39.672950949912064</v>
      </c>
      <c r="O57" s="238">
        <f>M57/N57-1</f>
        <v>-0.32912745076124272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'[6]Sch C'!D57</f>
        <v>164716</v>
      </c>
      <c r="D60" s="273">
        <f>'[6]Sch C'!F57</f>
        <v>-164716</v>
      </c>
      <c r="E60" s="259">
        <f t="shared" ref="E60:E76" si="6">SUM(C60:D60)</f>
        <v>0</v>
      </c>
      <c r="F60" s="286"/>
      <c r="G60" s="179">
        <f>IF(ISERROR(E60+F60),"",(E60+F60))</f>
        <v>0</v>
      </c>
      <c r="H60" s="181">
        <f>IF(ISERROR(G60/$G$183),"",(G60/$G$183))</f>
        <v>0</v>
      </c>
      <c r="I60" s="279" t="s">
        <v>381</v>
      </c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'[6]Sch C'!D58</f>
        <v>2309</v>
      </c>
      <c r="D61" s="273">
        <f>'[6]Sch C'!F58</f>
        <v>26410</v>
      </c>
      <c r="E61" s="259">
        <f t="shared" si="6"/>
        <v>28719</v>
      </c>
      <c r="F61" s="179"/>
      <c r="G61" s="179">
        <f t="shared" ref="G61:G76" si="7">IF(ISERROR(E61+F61),"",(E61+F61))</f>
        <v>28719</v>
      </c>
      <c r="H61" s="181">
        <f t="shared" ref="H61:H76" si="8">IF(ISERROR(G61/$G$183),"",(G61/$G$183))</f>
        <v>1.0684223331852668E-2</v>
      </c>
      <c r="I61" s="279" t="s">
        <v>382</v>
      </c>
      <c r="J61" s="136"/>
      <c r="K61" s="136"/>
      <c r="M61" s="237">
        <f t="shared" ref="M61:M77" si="9">IFERROR(G61/G$198,0)</f>
        <v>1.7713563190032691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'[6]Sch C'!D59</f>
        <v>0</v>
      </c>
      <c r="D62" s="273">
        <f>'[6]Sch C'!F59</f>
        <v>64104</v>
      </c>
      <c r="E62" s="259">
        <f t="shared" si="6"/>
        <v>64104</v>
      </c>
      <c r="F62" s="179"/>
      <c r="G62" s="179">
        <f t="shared" si="7"/>
        <v>64104</v>
      </c>
      <c r="H62" s="181">
        <f t="shared" si="8"/>
        <v>2.3848373984647217E-2</v>
      </c>
      <c r="I62" s="279" t="s">
        <v>383</v>
      </c>
      <c r="J62" s="136"/>
      <c r="K62" s="136"/>
      <c r="M62" s="237">
        <f t="shared" si="9"/>
        <v>3.9538641830629739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'[6]Sch C'!D60</f>
        <v>4930</v>
      </c>
      <c r="D63" s="273">
        <f>'[6]Sch C'!F60</f>
        <v>1260</v>
      </c>
      <c r="E63" s="259">
        <f t="shared" si="6"/>
        <v>6190</v>
      </c>
      <c r="F63" s="179"/>
      <c r="G63" s="179">
        <f t="shared" si="7"/>
        <v>6190</v>
      </c>
      <c r="H63" s="181">
        <f t="shared" si="8"/>
        <v>2.3028428017747142E-3</v>
      </c>
      <c r="J63" s="136"/>
      <c r="K63" s="136"/>
      <c r="M63" s="237">
        <f t="shared" si="9"/>
        <v>0.38179238882378336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'[6]Sch C'!D61</f>
        <v>0</v>
      </c>
      <c r="D64" s="273">
        <f>'[6]Sch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'[6]Sch C'!D62</f>
        <v>0</v>
      </c>
      <c r="D65" s="273">
        <f>'[6]Sch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'[6]Sch C'!D63</f>
        <v>0</v>
      </c>
      <c r="D66" s="273">
        <f>'[6]Sch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'[6]Sch C'!D64</f>
        <v>9696</v>
      </c>
      <c r="D67" s="273">
        <f>'[6]Sch C'!F64</f>
        <v>0</v>
      </c>
      <c r="E67" s="259">
        <f t="shared" si="6"/>
        <v>9696</v>
      </c>
      <c r="F67" s="179"/>
      <c r="G67" s="179">
        <f t="shared" si="7"/>
        <v>9696</v>
      </c>
      <c r="H67" s="181">
        <f t="shared" si="8"/>
        <v>3.6071670122791001E-3</v>
      </c>
      <c r="J67" s="136"/>
      <c r="K67" s="136"/>
      <c r="M67" s="237">
        <f t="shared" si="9"/>
        <v>0.59803861099117994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'[6]Sch C'!D65</f>
        <v>0</v>
      </c>
      <c r="D68" s="273">
        <f>'[6]Sch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'[6]Sch C'!D66</f>
        <v>0</v>
      </c>
      <c r="D69" s="273">
        <f>'[6]Sch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'[6]Sch C'!D67</f>
        <v>0</v>
      </c>
      <c r="D70" s="273">
        <f>'[6]Sch C'!F67</f>
        <v>0</v>
      </c>
      <c r="E70" s="259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37">
        <f t="shared" si="9"/>
        <v>0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'[6]Sch C'!D68</f>
        <v>0</v>
      </c>
      <c r="D71" s="273">
        <f>'[6]Sch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'[6]Sch C'!D69</f>
        <v>6387</v>
      </c>
      <c r="D72" s="273">
        <f>'[6]Sch C'!F69</f>
        <v>0</v>
      </c>
      <c r="E72" s="259">
        <f t="shared" si="6"/>
        <v>6387</v>
      </c>
      <c r="F72" s="179"/>
      <c r="G72" s="179">
        <f t="shared" si="7"/>
        <v>6387</v>
      </c>
      <c r="H72" s="181">
        <f t="shared" si="8"/>
        <v>2.3761319830266719E-3</v>
      </c>
      <c r="J72" s="136"/>
      <c r="K72" s="136"/>
      <c r="M72" s="237">
        <f t="shared" si="9"/>
        <v>0.39394313205452414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'[6]Sch C'!D70</f>
        <v>0</v>
      </c>
      <c r="D73" s="273">
        <f>'[6]Sch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'[6]Sch C'!D71</f>
        <v>1071</v>
      </c>
      <c r="D74" s="273">
        <f>'[6]Sch C'!F71</f>
        <v>0</v>
      </c>
      <c r="E74" s="259">
        <f t="shared" si="6"/>
        <v>1071</v>
      </c>
      <c r="F74" s="179"/>
      <c r="G74" s="179">
        <f t="shared" si="7"/>
        <v>1071</v>
      </c>
      <c r="H74" s="181">
        <f t="shared" si="8"/>
        <v>3.9844016812612583E-4</v>
      </c>
      <c r="J74" s="136"/>
      <c r="K74" s="136"/>
      <c r="M74" s="237">
        <f t="shared" si="9"/>
        <v>6.6058101523468818E-2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'[6]Sch C'!D72</f>
        <v>0</v>
      </c>
      <c r="D75" s="273">
        <f>'[6]Sch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'[6]Sch C'!D73</f>
        <v>0</v>
      </c>
      <c r="D76" s="273">
        <f>'[6]Sch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189109</v>
      </c>
      <c r="D77" s="273">
        <f>SUM(D60:D76)</f>
        <v>-72942</v>
      </c>
      <c r="E77" s="182">
        <f>SUM(E60:E76)</f>
        <v>116167</v>
      </c>
      <c r="F77" s="182">
        <f>SUM(F60:F76)</f>
        <v>0</v>
      </c>
      <c r="G77" s="183">
        <f>IF(ISERROR(E77+F77),"",(E77+F77))</f>
        <v>116167</v>
      </c>
      <c r="H77" s="181">
        <f>IF(ISERROR(G77/$G$183),"",(G77/$G$183))</f>
        <v>4.32171792817065E-2</v>
      </c>
      <c r="J77" s="136"/>
      <c r="K77" s="136"/>
      <c r="M77" s="237">
        <f t="shared" si="9"/>
        <v>7.1650527354591995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'[6]Sch C'!D78</f>
        <v>115779</v>
      </c>
      <c r="D80" s="273">
        <f>'[6]Sch C'!F78</f>
        <v>0</v>
      </c>
      <c r="E80" s="259">
        <f t="shared" ref="E80:E91" si="10">SUM(C80:D80)</f>
        <v>115779</v>
      </c>
      <c r="F80" s="180"/>
      <c r="G80" s="180">
        <f>IF(ISERROR(E80+F80),"",(E80+F80))</f>
        <v>115779</v>
      </c>
      <c r="H80" s="181">
        <f t="shared" ref="H80:H92" si="11">IF(ISERROR(G80/$G$183),"",(G80/$G$183))</f>
        <v>4.3072833077007211E-2</v>
      </c>
      <c r="J80" s="261">
        <v>6668</v>
      </c>
      <c r="K80" s="261">
        <v>6990</v>
      </c>
      <c r="M80" s="237">
        <f t="shared" ref="M80:M92" si="12">IFERROR(G80/G$198,0)</f>
        <v>7.141121322395608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'[6]Sch C'!D79</f>
        <v>0</v>
      </c>
      <c r="D81" s="273">
        <f>'[6]Sch C'!F79</f>
        <v>28692</v>
      </c>
      <c r="E81" s="259">
        <f t="shared" si="10"/>
        <v>28692</v>
      </c>
      <c r="F81" s="183"/>
      <c r="G81" s="183">
        <f>IF(ISERROR(E81+F81),"",(E81+F81))</f>
        <v>28692</v>
      </c>
      <c r="H81" s="181">
        <f t="shared" si="11"/>
        <v>1.0674178621731843E-2</v>
      </c>
      <c r="J81" s="136"/>
      <c r="K81" s="136"/>
      <c r="M81" s="237">
        <f t="shared" si="12"/>
        <v>1.7696909887127614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'[6]Sch C'!D80</f>
        <v>23521</v>
      </c>
      <c r="D82" s="273">
        <f>'[6]Sch C'!F80</f>
        <v>120</v>
      </c>
      <c r="E82" s="259">
        <f t="shared" si="10"/>
        <v>23641</v>
      </c>
      <c r="F82" s="183"/>
      <c r="G82" s="183">
        <f>IF(ISERROR(E82+F82),"",(E82+F82))</f>
        <v>23641</v>
      </c>
      <c r="H82" s="181">
        <f t="shared" si="11"/>
        <v>8.795073776535706E-3</v>
      </c>
      <c r="J82" s="136"/>
      <c r="K82" s="136"/>
      <c r="M82" s="237">
        <f t="shared" si="12"/>
        <v>1.4581508665885401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'[6]Sch C'!D81</f>
        <v>0</v>
      </c>
      <c r="D83" s="273">
        <f>'[6]Sch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'[6]Sch C'!D82</f>
        <v>0</v>
      </c>
      <c r="D84" s="273">
        <f>'[6]Sch C'!F82</f>
        <v>0</v>
      </c>
      <c r="E84" s="259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'[6]Sch C'!D83</f>
        <v>17644</v>
      </c>
      <c r="D85" s="273">
        <f>'[6]Sch C'!F83</f>
        <v>3936</v>
      </c>
      <c r="E85" s="259">
        <f t="shared" si="10"/>
        <v>21580</v>
      </c>
      <c r="F85" s="183"/>
      <c r="G85" s="183">
        <f t="shared" si="13"/>
        <v>21580</v>
      </c>
      <c r="H85" s="181">
        <f t="shared" si="11"/>
        <v>8.0283275706459351E-3</v>
      </c>
      <c r="J85" s="136"/>
      <c r="K85" s="136"/>
      <c r="M85" s="237">
        <f t="shared" si="12"/>
        <v>1.3310306544131252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'[6]Sch C'!D84</f>
        <v>4114</v>
      </c>
      <c r="D86" s="273">
        <f>'[6]Sch C'!F84</f>
        <v>452</v>
      </c>
      <c r="E86" s="259">
        <f t="shared" si="10"/>
        <v>4566</v>
      </c>
      <c r="F86" s="183"/>
      <c r="G86" s="183">
        <f t="shared" si="13"/>
        <v>4566</v>
      </c>
      <c r="H86" s="181">
        <f t="shared" si="11"/>
        <v>1.6986720893220268E-3</v>
      </c>
      <c r="J86" s="136"/>
      <c r="K86" s="136"/>
      <c r="M86" s="237">
        <f t="shared" si="12"/>
        <v>0.28162585579473265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'[6]Sch C'!D85</f>
        <v>0</v>
      </c>
      <c r="D87" s="273">
        <f>'[6]Sch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'[6]Sch C'!D86</f>
        <v>24448</v>
      </c>
      <c r="D88" s="273">
        <f>'[6]Sch C'!F86</f>
        <v>5266</v>
      </c>
      <c r="E88" s="259">
        <f t="shared" si="10"/>
        <v>29714</v>
      </c>
      <c r="F88" s="183"/>
      <c r="G88" s="183">
        <f t="shared" si="13"/>
        <v>29714</v>
      </c>
      <c r="H88" s="181">
        <f t="shared" si="11"/>
        <v>1.1054389501120171E-2</v>
      </c>
      <c r="J88" s="136"/>
      <c r="K88" s="136"/>
      <c r="M88" s="237">
        <f t="shared" si="12"/>
        <v>1.8327268241534571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'[6]Sch C'!D87</f>
        <v>26878</v>
      </c>
      <c r="D89" s="273">
        <f>'[6]Sch C'!F87</f>
        <v>1215</v>
      </c>
      <c r="E89" s="259">
        <f t="shared" si="10"/>
        <v>28093</v>
      </c>
      <c r="F89" s="183"/>
      <c r="G89" s="183">
        <f t="shared" si="13"/>
        <v>28093</v>
      </c>
      <c r="H89" s="181">
        <f t="shared" si="11"/>
        <v>1.0451334867569797E-2</v>
      </c>
      <c r="J89" s="136"/>
      <c r="K89" s="136"/>
      <c r="M89" s="237">
        <f t="shared" si="12"/>
        <v>1.7327453278233516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'[6]Sch C'!D88</f>
        <v>0</v>
      </c>
      <c r="D90" s="273">
        <f>'[6]Sch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'[6]Sch C'!D89</f>
        <v>0</v>
      </c>
      <c r="D91" s="273">
        <f>'[6]Sch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212384</v>
      </c>
      <c r="D92" s="273">
        <f>SUM(D80:D91)</f>
        <v>39681</v>
      </c>
      <c r="E92" s="183">
        <f>SUM(E80:E91)</f>
        <v>252065</v>
      </c>
      <c r="F92" s="183">
        <f>SUM(F80:F91)</f>
        <v>0</v>
      </c>
      <c r="G92" s="183">
        <f>IF(ISERROR(E92+F92),"",(E92+F92))</f>
        <v>252065</v>
      </c>
      <c r="H92" s="181">
        <f t="shared" si="11"/>
        <v>9.3774809503932688E-2</v>
      </c>
      <c r="J92" s="136"/>
      <c r="K92" s="136"/>
      <c r="M92" s="237">
        <f t="shared" si="12"/>
        <v>15.547091839881576</v>
      </c>
      <c r="N92" s="243">
        <f>SUMMARY!M92</f>
        <v>10.36414021133649</v>
      </c>
      <c r="O92" s="238">
        <f>M92/N92-1</f>
        <v>0.5000850550898448</v>
      </c>
      <c r="P92" s="178">
        <f>IF(O92&gt;=0.2,0.6,0)</f>
        <v>0.6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'[6]Sch C'!D93</f>
        <v>141220</v>
      </c>
      <c r="D95" s="273">
        <f>'[6]Sch C'!F93</f>
        <v>0</v>
      </c>
      <c r="E95" s="259">
        <f t="shared" ref="E95:E100" si="14">SUM(C95:D95)</f>
        <v>141220</v>
      </c>
      <c r="F95" s="180"/>
      <c r="G95" s="180">
        <f t="shared" ref="G95:G101" si="15">IF(ISERROR(E95+F95),"",(E95+F95))</f>
        <v>141220</v>
      </c>
      <c r="H95" s="181">
        <f t="shared" ref="H95:H101" si="16">IF(ISERROR(G95/$G$183),"",(G95/$G$183))</f>
        <v>5.2537554194931363E-2</v>
      </c>
      <c r="J95" s="261">
        <v>12471</v>
      </c>
      <c r="K95" s="261">
        <v>13094</v>
      </c>
      <c r="M95" s="237">
        <f t="shared" ref="M95:M101" si="17">IFERROR(G95/G$198,0)</f>
        <v>8.7102942083513231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'[6]Sch C'!D94</f>
        <v>0</v>
      </c>
      <c r="D96" s="273">
        <f>'[6]Sch C'!F94</f>
        <v>34997</v>
      </c>
      <c r="E96" s="259">
        <f t="shared" si="14"/>
        <v>34997</v>
      </c>
      <c r="F96" s="183"/>
      <c r="G96" s="183">
        <f t="shared" si="15"/>
        <v>34997</v>
      </c>
      <c r="H96" s="181">
        <f t="shared" si="16"/>
        <v>1.3019804448095262E-2</v>
      </c>
      <c r="J96" s="136"/>
      <c r="K96" s="136"/>
      <c r="M96" s="237">
        <f t="shared" si="17"/>
        <v>2.1585764509961143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'[6]Sch C'!D95</f>
        <v>2188</v>
      </c>
      <c r="D97" s="273">
        <f>'[6]Sch C'!F95</f>
        <v>0</v>
      </c>
      <c r="E97" s="259">
        <f t="shared" si="14"/>
        <v>2188</v>
      </c>
      <c r="F97" s="183"/>
      <c r="G97" s="183">
        <f t="shared" si="15"/>
        <v>2188</v>
      </c>
      <c r="H97" s="181">
        <f t="shared" si="16"/>
        <v>8.1399354608773422E-4</v>
      </c>
      <c r="J97" s="136"/>
      <c r="K97" s="136"/>
      <c r="M97" s="237">
        <f t="shared" si="17"/>
        <v>0.13495343243076544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'[6]Sch C'!D96</f>
        <v>123384</v>
      </c>
      <c r="D98" s="273">
        <f>'[6]Sch C'!F96</f>
        <v>9</v>
      </c>
      <c r="E98" s="259">
        <f t="shared" si="14"/>
        <v>123393</v>
      </c>
      <c r="F98" s="183"/>
      <c r="G98" s="183">
        <f t="shared" si="15"/>
        <v>123393</v>
      </c>
      <c r="H98" s="181">
        <f t="shared" si="16"/>
        <v>4.5905441331080342E-2</v>
      </c>
      <c r="J98" s="136"/>
      <c r="K98" s="136"/>
      <c r="M98" s="237">
        <f t="shared" si="17"/>
        <v>7.6107444643187563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'[6]Sch C'!D97</f>
        <v>17007</v>
      </c>
      <c r="D99" s="273">
        <f>'[6]Sch C'!F97</f>
        <v>104</v>
      </c>
      <c r="E99" s="259">
        <f t="shared" si="14"/>
        <v>17111</v>
      </c>
      <c r="F99" s="183"/>
      <c r="G99" s="183">
        <f t="shared" si="15"/>
        <v>17111</v>
      </c>
      <c r="H99" s="181">
        <f t="shared" si="16"/>
        <v>6.3657420324987292E-3</v>
      </c>
      <c r="J99" s="136"/>
      <c r="K99" s="136"/>
      <c r="M99" s="237">
        <f t="shared" si="17"/>
        <v>1.0553876518842904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'[6]Sch C'!D98</f>
        <v>0</v>
      </c>
      <c r="D100" s="273">
        <f>'[6]Sch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283799</v>
      </c>
      <c r="D101" s="273">
        <f>SUM(D95:D100)</f>
        <v>35110</v>
      </c>
      <c r="E101" s="183">
        <f>SUM(E95:E100)</f>
        <v>318909</v>
      </c>
      <c r="F101" s="183">
        <f>SUM(F95:F100)</f>
        <v>0</v>
      </c>
      <c r="G101" s="183">
        <f t="shared" si="15"/>
        <v>318909</v>
      </c>
      <c r="H101" s="181">
        <f t="shared" si="16"/>
        <v>0.11864253555269344</v>
      </c>
      <c r="J101" s="136"/>
      <c r="K101" s="136"/>
      <c r="M101" s="237">
        <f t="shared" si="17"/>
        <v>19.669956207981251</v>
      </c>
      <c r="N101" s="243">
        <f>SUMMARY!M101</f>
        <v>14.116295917008408</v>
      </c>
      <c r="O101" s="238">
        <f>M101/N101-1</f>
        <v>0.39342192340140469</v>
      </c>
      <c r="P101" s="178">
        <f>IF(O101&gt;=0.2,0.9,0)</f>
        <v>0.9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'[6]Sch C'!D102</f>
        <v>61347</v>
      </c>
      <c r="D104" s="273">
        <f>'[6]Sch C'!F102</f>
        <v>0</v>
      </c>
      <c r="E104" s="259">
        <f t="shared" ref="E104:E109" si="18">SUM(C104:D104)</f>
        <v>61347</v>
      </c>
      <c r="F104" s="180"/>
      <c r="G104" s="180">
        <f t="shared" ref="G104:G110" si="19">IF(ISERROR(E104+F104),"",(E104+F104))</f>
        <v>61347</v>
      </c>
      <c r="H104" s="181">
        <f t="shared" ref="H104:H110" si="20">IF(ISERROR(G104/$G$183),"",(G104/$G$183))</f>
        <v>2.282269747342058E-2</v>
      </c>
      <c r="J104" s="261">
        <v>6696</v>
      </c>
      <c r="K104" s="261">
        <v>6986</v>
      </c>
      <c r="M104" s="237">
        <f t="shared" ref="M104:M110" si="21">IFERROR(G104/G$198,0)</f>
        <v>3.7838154567322517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'[6]Sch C'!D103</f>
        <v>0</v>
      </c>
      <c r="D105" s="273">
        <f>'[6]Sch C'!F103</f>
        <v>15203</v>
      </c>
      <c r="E105" s="259">
        <f t="shared" si="18"/>
        <v>15203</v>
      </c>
      <c r="F105" s="183"/>
      <c r="G105" s="183">
        <f t="shared" si="19"/>
        <v>15203</v>
      </c>
      <c r="H105" s="181">
        <f t="shared" si="20"/>
        <v>5.655915850626976E-3</v>
      </c>
      <c r="J105" s="136"/>
      <c r="K105" s="136"/>
      <c r="M105" s="237">
        <f t="shared" si="21"/>
        <v>0.93770431135508547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'[6]Sch C'!D104</f>
        <v>228</v>
      </c>
      <c r="D106" s="273">
        <f>'[6]Sch C'!F104</f>
        <v>0</v>
      </c>
      <c r="E106" s="259">
        <f t="shared" si="18"/>
        <v>228</v>
      </c>
      <c r="F106" s="183"/>
      <c r="G106" s="183">
        <f t="shared" si="19"/>
        <v>228</v>
      </c>
      <c r="H106" s="181">
        <f t="shared" si="20"/>
        <v>8.4821996575869929E-5</v>
      </c>
      <c r="J106" s="136"/>
      <c r="K106" s="136"/>
      <c r="M106" s="237">
        <f t="shared" si="21"/>
        <v>1.4062789119842102E-2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'[6]Sch C'!D105</f>
        <v>0</v>
      </c>
      <c r="D107" s="273">
        <f>'[6]Sch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'[6]Sch C'!D106</f>
        <v>130</v>
      </c>
      <c r="D108" s="273">
        <f>'[6]Sch C'!F106</f>
        <v>0</v>
      </c>
      <c r="E108" s="259">
        <f t="shared" si="18"/>
        <v>130</v>
      </c>
      <c r="F108" s="183"/>
      <c r="G108" s="183">
        <f t="shared" si="19"/>
        <v>130</v>
      </c>
      <c r="H108" s="181">
        <f t="shared" si="20"/>
        <v>4.8363419100276711E-5</v>
      </c>
      <c r="J108" s="136"/>
      <c r="K108" s="136"/>
      <c r="M108" s="237">
        <f t="shared" si="21"/>
        <v>8.0182569542959353E-3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'[6]Sch C'!D107</f>
        <v>0</v>
      </c>
      <c r="D109" s="273">
        <f>'[6]Sch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61705</v>
      </c>
      <c r="D110" s="273">
        <f>SUM(D104:D109)</f>
        <v>15203</v>
      </c>
      <c r="E110" s="183">
        <f>SUM(E104:E109)</f>
        <v>76908</v>
      </c>
      <c r="F110" s="183">
        <f>SUM(F104:F109)</f>
        <v>0</v>
      </c>
      <c r="G110" s="183">
        <f t="shared" si="19"/>
        <v>76908</v>
      </c>
      <c r="H110" s="181">
        <f t="shared" si="20"/>
        <v>2.8611798739723703E-2</v>
      </c>
      <c r="J110" s="136"/>
      <c r="K110" s="136"/>
      <c r="M110" s="237">
        <f t="shared" si="21"/>
        <v>4.7436008141614749</v>
      </c>
      <c r="N110" s="243">
        <f>SUMMARY!M110</f>
        <v>2.6822243142585545</v>
      </c>
      <c r="O110" s="238">
        <f>M110/N110-1</f>
        <v>0.76853247841530559</v>
      </c>
      <c r="P110" s="178">
        <f>IF(O110&gt;=0.2,0.2,0)</f>
        <v>0.2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'[6]Sch C'!D121</f>
        <v>62624</v>
      </c>
      <c r="D113" s="273">
        <f>'[6]Sch C'!F121</f>
        <v>0</v>
      </c>
      <c r="E113" s="259">
        <f t="shared" ref="E113:E117" si="22">SUM(C113:D113)</f>
        <v>62624</v>
      </c>
      <c r="F113" s="180"/>
      <c r="G113" s="180">
        <f t="shared" ref="G113:G118" si="23">IF(ISERROR(E113+F113),"",(E113+F113))</f>
        <v>62624</v>
      </c>
      <c r="H113" s="181">
        <f t="shared" ref="H113:H118" si="24">IF(ISERROR(G113/$G$183),"",(G113/$G$183))</f>
        <v>2.3297775059505609E-2</v>
      </c>
      <c r="J113" s="261">
        <v>6519</v>
      </c>
      <c r="K113" s="261">
        <v>6788</v>
      </c>
      <c r="M113" s="237">
        <f t="shared" ref="M113:M118" si="25">IFERROR(G113/G$198,0)</f>
        <v>3.8625794115832974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'[6]Sch C'!D122</f>
        <v>0</v>
      </c>
      <c r="D114" s="273">
        <f>'[6]Sch C'!F122</f>
        <v>15519</v>
      </c>
      <c r="E114" s="259">
        <f t="shared" si="22"/>
        <v>15519</v>
      </c>
      <c r="F114" s="183"/>
      <c r="G114" s="183">
        <f t="shared" si="23"/>
        <v>15519</v>
      </c>
      <c r="H114" s="181">
        <f t="shared" si="24"/>
        <v>5.7734761616707259E-3</v>
      </c>
      <c r="J114" s="136"/>
      <c r="K114" s="136"/>
      <c r="M114" s="237">
        <f t="shared" si="25"/>
        <v>0.95719484364398943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'[6]Sch C'!D123</f>
        <v>16813</v>
      </c>
      <c r="D115" s="273">
        <f>'[6]Sch C'!F123</f>
        <v>0</v>
      </c>
      <c r="E115" s="259">
        <f t="shared" si="22"/>
        <v>16813</v>
      </c>
      <c r="F115" s="183"/>
      <c r="G115" s="183">
        <f t="shared" si="23"/>
        <v>16813</v>
      </c>
      <c r="H115" s="181">
        <f t="shared" si="24"/>
        <v>6.2548781948688643E-3</v>
      </c>
      <c r="J115" s="136"/>
      <c r="K115" s="136"/>
      <c r="M115" s="237">
        <f t="shared" si="25"/>
        <v>1.0370073397890582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'[6]Sch C'!D124</f>
        <v>975</v>
      </c>
      <c r="D116" s="273">
        <f>'[6]Sch C'!F124</f>
        <v>0</v>
      </c>
      <c r="E116" s="259">
        <f t="shared" si="22"/>
        <v>975</v>
      </c>
      <c r="F116" s="183"/>
      <c r="G116" s="183">
        <f t="shared" si="23"/>
        <v>975</v>
      </c>
      <c r="H116" s="181">
        <f t="shared" si="24"/>
        <v>3.6272564325207535E-4</v>
      </c>
      <c r="J116" s="136"/>
      <c r="K116" s="136"/>
      <c r="M116" s="237">
        <f t="shared" si="25"/>
        <v>6.0136927157219515E-2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'[6]Sch C'!D125</f>
        <v>0</v>
      </c>
      <c r="D117" s="273">
        <f>'[6]Sch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80412</v>
      </c>
      <c r="D118" s="273">
        <f>SUM(D113:D117)</f>
        <v>15519</v>
      </c>
      <c r="E118" s="183">
        <f>SUM(E113:E117)</f>
        <v>95931</v>
      </c>
      <c r="F118" s="183">
        <f>SUM(F113:F117)</f>
        <v>0</v>
      </c>
      <c r="G118" s="183">
        <f t="shared" si="23"/>
        <v>95931</v>
      </c>
      <c r="H118" s="181">
        <f t="shared" si="24"/>
        <v>3.5688855059297274E-2</v>
      </c>
      <c r="J118" s="136"/>
      <c r="K118" s="136"/>
      <c r="M118" s="237">
        <f t="shared" si="25"/>
        <v>5.9169185221735647</v>
      </c>
      <c r="N118" s="243">
        <f>SUMMARY!M118</f>
        <v>3.1676887539780583</v>
      </c>
      <c r="O118" s="238">
        <f>M118/N118-1</f>
        <v>0.86789769504436287</v>
      </c>
      <c r="P118" s="178">
        <f>IF(O118&gt;=0.2,0.2,0)</f>
        <v>0.2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'[6]Sch C'!D129</f>
        <v>0</v>
      </c>
      <c r="D121" s="273">
        <f>'[6]Sch C'!F129</f>
        <v>0</v>
      </c>
      <c r="E121" s="259">
        <f t="shared" ref="E121:E131" si="26">SUM(C121:D121)</f>
        <v>0</v>
      </c>
      <c r="F121" s="180"/>
      <c r="G121" s="180">
        <f t="shared" ref="G121:G131" si="27">IF(ISERROR(E121+F121),"",(E121+F121))</f>
        <v>0</v>
      </c>
      <c r="H121" s="181">
        <f t="shared" ref="H121:H131" si="28">IF(ISERROR(G121/$G$183),"",(G121/$G$183))</f>
        <v>0</v>
      </c>
      <c r="J121" s="261">
        <v>0</v>
      </c>
      <c r="K121" s="261">
        <v>0</v>
      </c>
      <c r="M121" s="237">
        <f t="shared" ref="M121:M131" si="29">IFERROR(G121/G$198,0)</f>
        <v>0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'[6]Sch C'!D130</f>
        <v>0</v>
      </c>
      <c r="D122" s="273">
        <f>'[6]Sch C'!F130</f>
        <v>0</v>
      </c>
      <c r="E122" s="259">
        <f t="shared" si="26"/>
        <v>0</v>
      </c>
      <c r="F122" s="180"/>
      <c r="G122" s="180">
        <f t="shared" si="27"/>
        <v>0</v>
      </c>
      <c r="H122" s="181">
        <f t="shared" si="28"/>
        <v>0</v>
      </c>
      <c r="J122" s="136"/>
      <c r="K122" s="136"/>
      <c r="M122" s="237">
        <f t="shared" si="29"/>
        <v>0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'[6]Sch C'!D131</f>
        <v>819340</v>
      </c>
      <c r="D123" s="273">
        <f>'[6]Sch C'!F131</f>
        <v>0</v>
      </c>
      <c r="E123" s="259">
        <f t="shared" si="26"/>
        <v>819340</v>
      </c>
      <c r="F123" s="180"/>
      <c r="G123" s="180">
        <f t="shared" si="27"/>
        <v>819340</v>
      </c>
      <c r="H123" s="181">
        <f t="shared" si="28"/>
        <v>0.30481602927400553</v>
      </c>
      <c r="J123" s="261">
        <v>56806</v>
      </c>
      <c r="K123" s="261">
        <v>59888</v>
      </c>
      <c r="M123" s="237">
        <f t="shared" si="29"/>
        <v>50.535989637944859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'[6]Sch C'!D132</f>
        <v>0</v>
      </c>
      <c r="D124" s="273">
        <f>'[6]Sch C'!F132</f>
        <v>203046</v>
      </c>
      <c r="E124" s="259">
        <f t="shared" si="26"/>
        <v>203046</v>
      </c>
      <c r="F124" s="180"/>
      <c r="G124" s="180">
        <f t="shared" si="27"/>
        <v>203046</v>
      </c>
      <c r="H124" s="181">
        <f t="shared" si="28"/>
        <v>7.5538452266421433E-2</v>
      </c>
      <c r="J124" s="136"/>
      <c r="K124" s="136"/>
      <c r="M124" s="237">
        <f t="shared" si="29"/>
        <v>12.523653858015173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'[6]Sch C'!D133</f>
        <v>0</v>
      </c>
      <c r="D125" s="273">
        <f>'[6]Sch C'!F133</f>
        <v>0</v>
      </c>
      <c r="E125" s="259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1">
        <v>0</v>
      </c>
      <c r="K125" s="261">
        <v>0</v>
      </c>
      <c r="M125" s="237">
        <f t="shared" si="29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'[6]Sch C'!D134</f>
        <v>20362</v>
      </c>
      <c r="D126" s="273">
        <f>'[6]Sch C'!F134</f>
        <v>47</v>
      </c>
      <c r="E126" s="259">
        <f t="shared" si="26"/>
        <v>20409</v>
      </c>
      <c r="F126" s="180"/>
      <c r="G126" s="180">
        <f t="shared" si="27"/>
        <v>20409</v>
      </c>
      <c r="H126" s="181">
        <f t="shared" si="28"/>
        <v>7.5926847724426729E-3</v>
      </c>
      <c r="J126" s="136"/>
      <c r="K126" s="136"/>
      <c r="M126" s="237">
        <f t="shared" si="29"/>
        <v>1.2588046629248135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'[6]Sch C'!D135</f>
        <v>0</v>
      </c>
      <c r="D127" s="273">
        <f>'[6]Sch C'!F135</f>
        <v>0</v>
      </c>
      <c r="E127" s="259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37">
        <f t="shared" si="29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'[6]Sch C'!D136</f>
        <v>0</v>
      </c>
      <c r="D128" s="273">
        <f>'[6]Sch C'!F136</f>
        <v>0</v>
      </c>
      <c r="E128" s="259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37">
        <f t="shared" si="29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'[6]Sch C'!D137</f>
        <v>0</v>
      </c>
      <c r="D129" s="273">
        <f>'[6]Sch C'!F137</f>
        <v>0</v>
      </c>
      <c r="E129" s="259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37">
        <f t="shared" si="29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'[6]Sch C'!D138</f>
        <v>0</v>
      </c>
      <c r="D130" s="273">
        <f>'[6]Sch C'!F138</f>
        <v>0</v>
      </c>
      <c r="E130" s="259">
        <f t="shared" si="26"/>
        <v>0</v>
      </c>
      <c r="F130" s="180"/>
      <c r="G130" s="180">
        <f t="shared" si="27"/>
        <v>0</v>
      </c>
      <c r="H130" s="181">
        <f t="shared" si="28"/>
        <v>0</v>
      </c>
      <c r="J130" s="136"/>
      <c r="K130" s="136"/>
      <c r="M130" s="237">
        <f t="shared" si="29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'[6]Sch C'!D139</f>
        <v>1499</v>
      </c>
      <c r="D131" s="273">
        <f>'[6]Sch C'!F139</f>
        <v>0</v>
      </c>
      <c r="E131" s="259">
        <f t="shared" si="26"/>
        <v>1499</v>
      </c>
      <c r="F131" s="183"/>
      <c r="G131" s="183">
        <f t="shared" si="27"/>
        <v>1499</v>
      </c>
      <c r="H131" s="181">
        <f t="shared" si="28"/>
        <v>5.5766742485626765E-4</v>
      </c>
      <c r="J131" s="136"/>
      <c r="K131" s="136"/>
      <c r="M131" s="237">
        <f t="shared" si="29"/>
        <v>9.2456670572996974E-2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'[6]Sch C'!D141</f>
        <v>0</v>
      </c>
      <c r="D133" s="273">
        <f>'[6]Sch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'[6]Sch C'!D142</f>
        <v>0</v>
      </c>
      <c r="D134" s="273">
        <f>'[6]Sch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'[6]Sch C'!D143</f>
        <v>0</v>
      </c>
      <c r="D135" s="273">
        <f>'[6]Sch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'[6]Sch C'!D144</f>
        <v>0</v>
      </c>
      <c r="D136" s="273">
        <f>'[6]Sch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'[6]Sch C'!D145</f>
        <v>0</v>
      </c>
      <c r="D137" s="273">
        <f>'[6]Sch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'[6]Sch C'!D146</f>
        <v>0</v>
      </c>
      <c r="D138" s="273">
        <f>'[6]Sch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841201</v>
      </c>
      <c r="D139" s="273">
        <f>SUM(D121:D138)</f>
        <v>203093</v>
      </c>
      <c r="E139" s="182">
        <f>SUM(E121:E138)</f>
        <v>1044294</v>
      </c>
      <c r="F139" s="182">
        <f>SUM(F121:F138)</f>
        <v>0</v>
      </c>
      <c r="G139" s="183">
        <f t="shared" si="33"/>
        <v>1044294</v>
      </c>
      <c r="H139" s="181">
        <f t="shared" si="31"/>
        <v>0.38850483373772593</v>
      </c>
      <c r="J139" s="136"/>
      <c r="K139" s="136"/>
      <c r="M139" s="237">
        <f t="shared" si="32"/>
        <v>64.410904829457849</v>
      </c>
      <c r="N139" s="243">
        <f>SUMMARY!M139</f>
        <v>37.231450929246826</v>
      </c>
      <c r="O139" s="238">
        <f>M139/N139-1</f>
        <v>0.73001328774056584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'[6]Sch C'!D150</f>
        <v>31571</v>
      </c>
      <c r="D142" s="273">
        <f>'[6]Sch C'!F150</f>
        <v>233</v>
      </c>
      <c r="E142" s="259">
        <f t="shared" ref="E142:E146" si="34">SUM(C142:D142)</f>
        <v>31804</v>
      </c>
      <c r="F142" s="180"/>
      <c r="G142" s="180">
        <f t="shared" ref="G142:G147" si="35">IF(ISERROR(E142+F142),"",(E142+F142))</f>
        <v>31804</v>
      </c>
      <c r="H142" s="181">
        <f t="shared" ref="H142:H147" si="36">IF(ISERROR(G142/$G$183),"",(G142/$G$183))</f>
        <v>1.1831924469732313E-2</v>
      </c>
      <c r="J142" s="261">
        <v>1425</v>
      </c>
      <c r="K142" s="261">
        <v>1550</v>
      </c>
      <c r="M142" s="237">
        <f t="shared" ref="M142:M147" si="37">IFERROR(G142/G$198,0)</f>
        <v>1.9616357244186764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'[6]Sch C'!D151</f>
        <v>0</v>
      </c>
      <c r="D143" s="273">
        <f>'[6]Sch C'!F151</f>
        <v>7824</v>
      </c>
      <c r="E143" s="259">
        <f t="shared" si="34"/>
        <v>7824</v>
      </c>
      <c r="F143" s="183"/>
      <c r="G143" s="183">
        <f t="shared" si="35"/>
        <v>7824</v>
      </c>
      <c r="H143" s="181">
        <f t="shared" si="36"/>
        <v>2.9107337772351152E-3</v>
      </c>
      <c r="J143" s="136"/>
      <c r="K143" s="136"/>
      <c r="M143" s="237">
        <f t="shared" si="37"/>
        <v>0.48257571084931844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'[6]Sch C'!D152</f>
        <v>7107</v>
      </c>
      <c r="D144" s="273">
        <f>'[6]Sch C'!F152</f>
        <v>853</v>
      </c>
      <c r="E144" s="259">
        <f t="shared" si="34"/>
        <v>7960</v>
      </c>
      <c r="F144" s="183"/>
      <c r="G144" s="183">
        <f t="shared" si="35"/>
        <v>7960</v>
      </c>
      <c r="H144" s="181">
        <f t="shared" si="36"/>
        <v>2.9613293541400202E-3</v>
      </c>
      <c r="J144" s="136"/>
      <c r="K144" s="136"/>
      <c r="M144" s="237">
        <f t="shared" si="37"/>
        <v>0.49096404120150494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'[6]Sch C'!D153</f>
        <v>124</v>
      </c>
      <c r="D145" s="273">
        <f>'[6]Sch C'!F153</f>
        <v>123</v>
      </c>
      <c r="E145" s="259">
        <f t="shared" si="34"/>
        <v>247</v>
      </c>
      <c r="F145" s="183"/>
      <c r="G145" s="183">
        <f t="shared" si="35"/>
        <v>247</v>
      </c>
      <c r="H145" s="181">
        <f t="shared" si="36"/>
        <v>9.1890496290525755E-5</v>
      </c>
      <c r="J145" s="136"/>
      <c r="K145" s="136"/>
      <c r="M145" s="237">
        <f t="shared" si="37"/>
        <v>1.5234688213162277E-2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'[6]Sch C'!D154</f>
        <v>0</v>
      </c>
      <c r="D146" s="273">
        <f>'[6]Sch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38802</v>
      </c>
      <c r="D147" s="273">
        <f>SUM(D142:D146)</f>
        <v>9033</v>
      </c>
      <c r="E147" s="183">
        <f>SUM(E142:E146)</f>
        <v>47835</v>
      </c>
      <c r="F147" s="183">
        <f>SUM(F142:F146)</f>
        <v>0</v>
      </c>
      <c r="G147" s="183">
        <f t="shared" si="35"/>
        <v>47835</v>
      </c>
      <c r="H147" s="204">
        <f t="shared" si="36"/>
        <v>1.7795878097397973E-2</v>
      </c>
      <c r="J147" s="136"/>
      <c r="K147" s="136"/>
      <c r="M147" s="237">
        <f t="shared" si="37"/>
        <v>2.9504101646826619</v>
      </c>
      <c r="N147" s="243">
        <f>SUMMARY!M147</f>
        <v>3.5319826687546212</v>
      </c>
      <c r="O147" s="238">
        <f>M147/N147-1</f>
        <v>-0.16465893482909477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'[6]Sch C'!D158</f>
        <v>0</v>
      </c>
      <c r="D150" s="273">
        <f>'[6]Sch C'!F158</f>
        <v>0</v>
      </c>
      <c r="E150" s="259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1">
        <v>0</v>
      </c>
      <c r="K150" s="261">
        <v>0</v>
      </c>
      <c r="M150" s="237">
        <f t="shared" ref="M150:M164" si="39">IFERROR(G150/G$198,0)</f>
        <v>0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'[6]Sch C'!D159</f>
        <v>0</v>
      </c>
      <c r="D151" s="273">
        <f>'[6]Sch C'!F159</f>
        <v>0</v>
      </c>
      <c r="E151" s="259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37">
        <f t="shared" si="39"/>
        <v>0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'[6]Sch C'!D160</f>
        <v>5812</v>
      </c>
      <c r="D152" s="273">
        <f>'[6]Sch C'!F160</f>
        <v>174</v>
      </c>
      <c r="E152" s="259">
        <f t="shared" si="38"/>
        <v>5986</v>
      </c>
      <c r="F152" s="183"/>
      <c r="G152" s="183">
        <f t="shared" ref="G152:G163" si="40">IF(ISERROR(E152+F152),"",(E152+F152))</f>
        <v>5986</v>
      </c>
      <c r="H152" s="181">
        <f t="shared" ref="H152:H163" si="41">IF(ISERROR(G152/$G$183),"",(G152/$G$183))</f>
        <v>2.2269494364173569E-3</v>
      </c>
      <c r="J152" s="136"/>
      <c r="K152" s="136"/>
      <c r="M152" s="237">
        <f t="shared" si="39"/>
        <v>0.36920989329550363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'[6]Sch C'!D161</f>
        <v>0</v>
      </c>
      <c r="D153" s="273">
        <f>'[6]Sch C'!F161</f>
        <v>0</v>
      </c>
      <c r="E153" s="259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'[6]Sch C'!D162</f>
        <v>0</v>
      </c>
      <c r="D154" s="273">
        <f>'[6]Sch C'!F162</f>
        <v>0</v>
      </c>
      <c r="E154" s="259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'[6]Sch C'!D163</f>
        <v>0</v>
      </c>
      <c r="D155" s="273">
        <f>'[6]Sch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'[6]Sch C'!D164</f>
        <v>-501</v>
      </c>
      <c r="D156" s="273">
        <f>'[6]Sch C'!F164</f>
        <v>0</v>
      </c>
      <c r="E156" s="259">
        <f t="shared" si="38"/>
        <v>-501</v>
      </c>
      <c r="F156" s="183"/>
      <c r="G156" s="183">
        <f t="shared" si="40"/>
        <v>-501</v>
      </c>
      <c r="H156" s="181">
        <f t="shared" si="41"/>
        <v>-1.8638517668645102E-4</v>
      </c>
      <c r="J156" s="206"/>
      <c r="K156" s="206"/>
      <c r="M156" s="237">
        <f t="shared" si="39"/>
        <v>-3.0901128723863566E-2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'[6]Sch C'!D165</f>
        <v>1760</v>
      </c>
      <c r="D157" s="273">
        <f>'[6]Sch C'!F165</f>
        <v>0</v>
      </c>
      <c r="E157" s="259">
        <f t="shared" si="38"/>
        <v>1760</v>
      </c>
      <c r="F157" s="183"/>
      <c r="G157" s="183">
        <f t="shared" si="40"/>
        <v>1760</v>
      </c>
      <c r="H157" s="181">
        <f t="shared" si="41"/>
        <v>6.5476628935759245E-4</v>
      </c>
      <c r="J157" s="206"/>
      <c r="K157" s="206"/>
      <c r="M157" s="237">
        <f t="shared" si="39"/>
        <v>0.10855486338123728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'[6]Sch C'!D166</f>
        <v>0</v>
      </c>
      <c r="D158" s="273">
        <f>'[6]Sch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'[6]Sch C'!D167</f>
        <v>288887</v>
      </c>
      <c r="D159" s="273">
        <f>'[6]Sch C'!F167</f>
        <v>0</v>
      </c>
      <c r="E159" s="259">
        <f t="shared" si="38"/>
        <v>288887</v>
      </c>
      <c r="F159" s="183"/>
      <c r="G159" s="183">
        <f t="shared" si="40"/>
        <v>288887</v>
      </c>
      <c r="H159" s="181">
        <f t="shared" si="41"/>
        <v>0.10747356195093569</v>
      </c>
      <c r="J159" s="206"/>
      <c r="K159" s="206"/>
      <c r="M159" s="237">
        <f t="shared" si="39"/>
        <v>17.818232282736076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'[6]Sch C'!D168</f>
        <v>0</v>
      </c>
      <c r="D160" s="273">
        <f>'[6]Sch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'[6]Sch C'!D169</f>
        <v>0</v>
      </c>
      <c r="D161" s="273">
        <f>'[6]Sch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'[6]Sch C'!D170</f>
        <v>0</v>
      </c>
      <c r="D162" s="273">
        <f>'[6]Sch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'[6]Sch C'!D171</f>
        <v>30</v>
      </c>
      <c r="D163" s="273">
        <f>'[6]Sch C'!F171</f>
        <v>0</v>
      </c>
      <c r="E163" s="259">
        <f t="shared" si="38"/>
        <v>30</v>
      </c>
      <c r="F163" s="183"/>
      <c r="G163" s="183">
        <f t="shared" si="40"/>
        <v>30</v>
      </c>
      <c r="H163" s="181">
        <f t="shared" si="41"/>
        <v>1.1160789023140781E-5</v>
      </c>
      <c r="J163" s="136"/>
      <c r="K163" s="136"/>
      <c r="M163" s="237">
        <f t="shared" si="39"/>
        <v>1.8503669894529083E-3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295988</v>
      </c>
      <c r="D164" s="273">
        <f>SUM(D150:D163)</f>
        <v>174</v>
      </c>
      <c r="E164" s="183">
        <f>SUM(E150:E163)</f>
        <v>296162</v>
      </c>
      <c r="F164" s="183">
        <f>SUM(F150:F163)</f>
        <v>0</v>
      </c>
      <c r="G164" s="183">
        <f>IF(ISERROR(E164+F164),"",(E164+F164))</f>
        <v>296162</v>
      </c>
      <c r="H164" s="181">
        <f>IF(ISERROR(G164/$G$183),"",(G164/$G$183))</f>
        <v>0.11018005328904733</v>
      </c>
      <c r="J164" s="136"/>
      <c r="K164" s="136"/>
      <c r="M164" s="237">
        <f t="shared" si="39"/>
        <v>18.266946277678407</v>
      </c>
      <c r="N164" s="243">
        <f>SUMMARY!M164</f>
        <v>48.166333206280392</v>
      </c>
      <c r="O164" s="238">
        <f>M164/N164-1</f>
        <v>-0.62075281505347002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'[6]Sch C'!D186</f>
        <v>0</v>
      </c>
      <c r="D167" s="273">
        <f>'[6]Sch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'[6]Sch C'!D187</f>
        <v>0</v>
      </c>
      <c r="D168" s="273">
        <f>'[6]Sch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'[6]Sch C'!D188</f>
        <v>0</v>
      </c>
      <c r="D169" s="273">
        <f>'[6]Sch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'[6]Sch C'!D189</f>
        <v>7100</v>
      </c>
      <c r="D170" s="273">
        <f>'[6]Sch C'!F189</f>
        <v>0</v>
      </c>
      <c r="E170" s="259">
        <f t="shared" si="42"/>
        <v>7100</v>
      </c>
      <c r="F170" s="183"/>
      <c r="G170" s="183">
        <f>IF(ISERROR(E170+F170),"",(E170+F170))</f>
        <v>7100</v>
      </c>
      <c r="H170" s="181">
        <f>IF(ISERROR(G170/$G$183),"",(G170/$G$183))</f>
        <v>2.6413867354766513E-3</v>
      </c>
      <c r="I170" s="215"/>
      <c r="J170" s="211"/>
      <c r="K170" s="42"/>
      <c r="M170" s="237">
        <f t="shared" si="43"/>
        <v>0.43792018750385492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'[6]Sch C'!D190</f>
        <v>175</v>
      </c>
      <c r="D171" s="273">
        <f>'[6]Sch C'!F190</f>
        <v>0</v>
      </c>
      <c r="E171" s="259">
        <f t="shared" si="42"/>
        <v>175</v>
      </c>
      <c r="F171" s="183"/>
      <c r="G171" s="183">
        <f>IF(ISERROR(E171+F171),"",(E171+F171))</f>
        <v>175</v>
      </c>
      <c r="H171" s="181">
        <f>IF(ISERROR(G171/$G$183),"",(G171/$G$183))</f>
        <v>6.5104602634987884E-5</v>
      </c>
      <c r="I171" s="215"/>
      <c r="J171" s="211"/>
      <c r="K171" s="42"/>
      <c r="M171" s="237">
        <f t="shared" si="43"/>
        <v>1.0793807438475297E-2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'[6]Sch C'!D191</f>
        <v>0</v>
      </c>
      <c r="D172" s="273">
        <f>'[6]Sch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'[6]Sch C'!D192</f>
        <v>0</v>
      </c>
      <c r="D173" s="273">
        <f>'[6]Sch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'[6]Sch C'!D193</f>
        <v>0</v>
      </c>
      <c r="D174" s="273">
        <f>'[6]Sch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'[6]Sch C'!D194</f>
        <v>0</v>
      </c>
      <c r="D175" s="273">
        <f>'[6]Sch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'[6]Sch C'!D195</f>
        <v>0</v>
      </c>
      <c r="D176" s="273">
        <f>'[6]Sch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'[6]Sch C'!D196</f>
        <v>0</v>
      </c>
      <c r="D177" s="273">
        <f>'[6]Sch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'[6]Sch C'!D197</f>
        <v>408</v>
      </c>
      <c r="D178" s="273">
        <f>'[6]Sch C'!F197</f>
        <v>0</v>
      </c>
      <c r="E178" s="259">
        <f t="shared" si="42"/>
        <v>408</v>
      </c>
      <c r="F178" s="183"/>
      <c r="G178" s="183">
        <f t="shared" si="44"/>
        <v>408</v>
      </c>
      <c r="H178" s="181">
        <f t="shared" si="45"/>
        <v>1.5178673071471462E-4</v>
      </c>
      <c r="I178" s="215"/>
      <c r="J178" s="211"/>
      <c r="K178" s="42"/>
      <c r="M178" s="237">
        <f t="shared" si="43"/>
        <v>2.516499105655955E-2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'[6]Sch C'!D198</f>
        <v>0</v>
      </c>
      <c r="D179" s="273">
        <f>'[6]Sch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'[6]Sch C'!D199</f>
        <v>511</v>
      </c>
      <c r="D180" s="273">
        <f>'[6]Sch C'!F199</f>
        <v>0</v>
      </c>
      <c r="E180" s="259">
        <f t="shared" si="42"/>
        <v>511</v>
      </c>
      <c r="F180" s="183"/>
      <c r="G180" s="183">
        <f t="shared" si="44"/>
        <v>511</v>
      </c>
      <c r="H180" s="181">
        <f t="shared" si="45"/>
        <v>1.9010543969416461E-4</v>
      </c>
      <c r="I180" s="215"/>
      <c r="J180" s="211"/>
      <c r="K180" s="42"/>
      <c r="M180" s="237">
        <f t="shared" si="43"/>
        <v>3.1517917720347871E-2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8194</v>
      </c>
      <c r="D181" s="273">
        <f>SUM(D167:D180)</f>
        <v>0</v>
      </c>
      <c r="E181" s="218">
        <f>SUM(E167:E180)</f>
        <v>8194</v>
      </c>
      <c r="F181" s="218">
        <f>SUM(F167:F180)</f>
        <v>0</v>
      </c>
      <c r="G181" s="183">
        <f t="shared" si="44"/>
        <v>8194</v>
      </c>
      <c r="H181" s="181">
        <f>IF(ISERROR(G181/$G$183),"",(G181/$G$183))</f>
        <v>3.0483835085205182E-3</v>
      </c>
      <c r="I181" s="219"/>
      <c r="J181" s="211"/>
      <c r="K181" s="211"/>
      <c r="M181" s="237">
        <f t="shared" si="43"/>
        <v>0.50539690371923762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2598072</v>
      </c>
      <c r="D183" s="273">
        <f>SUM(D21:D181)/2</f>
        <v>89910</v>
      </c>
      <c r="E183" s="258">
        <f>SUM(E21:E181)/2</f>
        <v>2687982</v>
      </c>
      <c r="F183" s="179">
        <f>SUM(F21:F181)/2</f>
        <v>0</v>
      </c>
      <c r="G183" s="179">
        <f>SUM(G21:G181)/2</f>
        <v>2687982</v>
      </c>
      <c r="H183" s="181">
        <f>IF(ISERROR(G183/$G$183),"",(G183/$G$183))</f>
        <v>1</v>
      </c>
      <c r="J183" s="261">
        <f>SUM(J21:J181)</f>
        <v>94357</v>
      </c>
      <c r="K183" s="261">
        <f>SUM(K21:K181)</f>
        <v>99068</v>
      </c>
      <c r="M183" s="237">
        <f>IFERROR(G183/G$198,0)</f>
        <v>165.7917720347869</v>
      </c>
      <c r="N183" s="243">
        <f>SUMMARY!M183</f>
        <v>169.52310231129192</v>
      </c>
      <c r="P183" s="178">
        <f>SUM(P57:P181)</f>
        <v>3.5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'[6]Sch C'!D204</f>
        <v>2598072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518861</v>
      </c>
      <c r="D190" s="273">
        <f>D17-D183</f>
        <v>-89910</v>
      </c>
      <c r="E190" s="259">
        <f>E17-E183</f>
        <v>428951</v>
      </c>
      <c r="F190" s="180">
        <f>F17-F183</f>
        <v>0</v>
      </c>
      <c r="G190" s="180">
        <f>G17-G183</f>
        <v>428951</v>
      </c>
      <c r="J190" s="136"/>
      <c r="K190" s="136"/>
      <c r="M190" s="237">
        <f>IFERROR(G190/G$198,0)</f>
        <v>26.457225683093814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'[6]Sch D'!C9</f>
        <v>16213</v>
      </c>
      <c r="D194" s="313"/>
      <c r="E194" s="264">
        <f>C194+D194</f>
        <v>16213</v>
      </c>
      <c r="F194" s="224"/>
      <c r="G194" s="225">
        <f>E194+F194</f>
        <v>16213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'[6]Sch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'[6]Sch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'[6]Sch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16213</v>
      </c>
      <c r="D198" s="313"/>
      <c r="E198" s="265">
        <f>SUM(E194:E197)</f>
        <v>16213</v>
      </c>
      <c r="F198" s="229">
        <f>SUM(F194:F197)</f>
        <v>0</v>
      </c>
      <c r="G198" s="229">
        <f>SUM(G194:G197)</f>
        <v>16213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'[6]Sch D'!G22</f>
        <v>45</v>
      </c>
      <c r="D201" s="312"/>
      <c r="E201" s="264">
        <f>C201+D201</f>
        <v>45</v>
      </c>
      <c r="F201" s="224"/>
      <c r="G201" s="231">
        <f>E201+F201</f>
        <v>45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'[6]Sch D'!G24</f>
        <v>45</v>
      </c>
      <c r="D202" s="312"/>
      <c r="E202" s="264">
        <f>C202+D202</f>
        <v>45</v>
      </c>
      <c r="F202" s="226"/>
      <c r="G202" s="231">
        <f>E202+F202</f>
        <v>45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'[6]Sch D'!G28</f>
        <v>16470</v>
      </c>
      <c r="D205" s="283"/>
      <c r="E205" s="260">
        <f>E201*E203</f>
        <v>16470</v>
      </c>
      <c r="F205" s="260">
        <f>G201*F203</f>
        <v>0</v>
      </c>
      <c r="G205" s="224">
        <f>G201*G203</f>
        <v>16470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'[6]Sch D'!G30</f>
        <v>0.98439587128111716</v>
      </c>
      <c r="D206" s="36"/>
      <c r="E206" s="266">
        <f>IFERROR(E198/E205,"0")</f>
        <v>0.98439587128111716</v>
      </c>
      <c r="F206" s="337" t="str">
        <f>IFERROR(F198/F205,"")</f>
        <v/>
      </c>
      <c r="G206" s="233">
        <f>G198/G205</f>
        <v>0.98439587128111716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'[6]Sch D'!G32</f>
        <v>0.98439587128111716</v>
      </c>
      <c r="D207" s="36"/>
      <c r="E207" s="266">
        <f>IFERROR((E194+E195)/E205,"0")</f>
        <v>0.98439587128111716</v>
      </c>
      <c r="F207" s="337" t="str">
        <f>IFERROR(((F194+F195)/F205),"")</f>
        <v/>
      </c>
      <c r="G207" s="233">
        <f>(G194+G195)/G205</f>
        <v>0.98439587128111716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'[6]Sch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B212" s="285"/>
      <c r="F212" s="51" t="s">
        <v>307</v>
      </c>
      <c r="G212" s="234"/>
    </row>
    <row r="213" spans="1:11">
      <c r="B213" s="285"/>
      <c r="F213" s="51" t="s">
        <v>308</v>
      </c>
      <c r="G213" s="234"/>
    </row>
  </sheetData>
  <phoneticPr fontId="0" type="noConversion"/>
  <conditionalFormatting sqref="D2">
    <cfRule type="cellIs" dxfId="31" priority="4" stopIfTrue="1" operator="equal">
      <formula>0</formula>
    </cfRule>
  </conditionalFormatting>
  <conditionalFormatting sqref="D2">
    <cfRule type="cellIs" dxfId="30" priority="3" stopIfTrue="1" operator="equal">
      <formula>0</formula>
    </cfRule>
  </conditionalFormatting>
  <conditionalFormatting sqref="C2">
    <cfRule type="cellIs" dxfId="29" priority="2" stopIfTrue="1" operator="equal">
      <formula>0</formula>
    </cfRule>
  </conditionalFormatting>
  <conditionalFormatting sqref="C2">
    <cfRule type="cellIs" dxfId="2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horizontalDpi="4294967292" verticalDpi="300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P213"/>
  <sheetViews>
    <sheetView showGridLines="0" topLeftCell="A193" zoomScale="90" zoomScaleNormal="90" workbookViewId="0">
      <selection activeCell="H203" sqref="H203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362</v>
      </c>
      <c r="D2" s="268"/>
      <c r="E2" s="25"/>
    </row>
    <row r="3" spans="1:16">
      <c r="A3" s="24"/>
      <c r="B3" s="52" t="s">
        <v>185</v>
      </c>
      <c r="C3" s="326">
        <v>42186</v>
      </c>
      <c r="D3"/>
      <c r="E3" s="163"/>
    </row>
    <row r="4" spans="1:16">
      <c r="A4" s="24"/>
      <c r="B4" s="164" t="s">
        <v>186</v>
      </c>
      <c r="C4" s="165">
        <v>42551</v>
      </c>
      <c r="D4"/>
      <c r="E4" s="284"/>
      <c r="G4" s="167"/>
    </row>
    <row r="5" spans="1:16">
      <c r="A5" s="24"/>
      <c r="B5" s="164"/>
      <c r="C5" s="168"/>
      <c r="D5" s="25"/>
      <c r="E5" s="163"/>
      <c r="G5" s="167"/>
    </row>
    <row r="6" spans="1:16">
      <c r="A6" s="24"/>
      <c r="B6" s="164"/>
      <c r="C6" s="168"/>
      <c r="D6" s="25"/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'[7]Sch B'!E10</f>
        <v>890646</v>
      </c>
      <c r="D12" s="273">
        <f>'[7]Sch B'!G10</f>
        <v>0</v>
      </c>
      <c r="E12" s="259">
        <f>SUM(C12:D12)</f>
        <v>890646</v>
      </c>
      <c r="F12" s="180"/>
      <c r="G12" s="180">
        <f>IF(ISERROR(E12+F12)," ",(E12+F12))</f>
        <v>890646</v>
      </c>
      <c r="H12" s="181">
        <f t="shared" ref="H12:H17" si="0">IF(ISERROR(G12/$G$17),"",(G12/$G$17))</f>
        <v>0.99767452801656054</v>
      </c>
      <c r="J12" s="246" t="s">
        <v>346</v>
      </c>
      <c r="K12" s="247">
        <f>G17</f>
        <v>892722</v>
      </c>
      <c r="M12" s="237">
        <f>IFERROR(G12/G$194,0)</f>
        <v>162.28972303206996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'[7]Sch B'!E15</f>
        <v>0</v>
      </c>
      <c r="D13" s="273">
        <f>'[7]Sch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1019841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'[7]Sch B'!E20</f>
        <v>0</v>
      </c>
      <c r="D14" s="273">
        <f>'[7]Sch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5488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'[7]Sch B'!E25</f>
        <v>0</v>
      </c>
      <c r="D15" s="273">
        <f>'[7]Sch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15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'[7]Sch B'!E40</f>
        <v>2076</v>
      </c>
      <c r="D16" s="273">
        <f>'[7]Sch B'!G40</f>
        <v>0</v>
      </c>
      <c r="E16" s="259">
        <f t="shared" si="1"/>
        <v>2076</v>
      </c>
      <c r="F16" s="287"/>
      <c r="G16" s="183">
        <f>IF(ISERROR(E16+F16),"",(E16+F16))</f>
        <v>2076</v>
      </c>
      <c r="H16" s="184">
        <f t="shared" si="0"/>
        <v>2.3254719834394132E-3</v>
      </c>
      <c r="I16" s="279"/>
      <c r="J16" s="248" t="s">
        <v>350</v>
      </c>
      <c r="K16" s="249">
        <f>G205</f>
        <v>5490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892722</v>
      </c>
      <c r="D17" s="273">
        <f>SUM(D12:D16)</f>
        <v>0</v>
      </c>
      <c r="E17" s="183">
        <f>SUM(E12:E16)</f>
        <v>892722</v>
      </c>
      <c r="F17" s="183">
        <f>SUM(F12:F16)</f>
        <v>0</v>
      </c>
      <c r="G17" s="183">
        <f>IF(ISERROR(E17+F17),"",(E17+F17))</f>
        <v>892722</v>
      </c>
      <c r="H17" s="184">
        <f t="shared" si="0"/>
        <v>1</v>
      </c>
      <c r="J17" s="248"/>
      <c r="K17" s="249"/>
      <c r="M17" s="237">
        <f>IFERROR(G17/G$198,0)</f>
        <v>162.66800291545189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33120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34154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'[7]Sch C'!D10</f>
        <v>29048</v>
      </c>
      <c r="D21" s="273">
        <f>'[7]Sch C'!F10</f>
        <v>3152</v>
      </c>
      <c r="E21" s="259">
        <f t="shared" ref="E21:E56" si="2">SUM(C21:D21)</f>
        <v>32200</v>
      </c>
      <c r="F21" s="180"/>
      <c r="G21" s="180">
        <f t="shared" ref="G21:G57" si="3">IF(ISERROR(E21+F21),"",(E21+F21))</f>
        <v>32200</v>
      </c>
      <c r="H21" s="181">
        <f>IF(ISERROR(G21/$G$183),"",(G21/$G$183))</f>
        <v>3.1573549210121968E-2</v>
      </c>
      <c r="J21" s="261">
        <v>2080</v>
      </c>
      <c r="K21" s="261">
        <v>2080</v>
      </c>
      <c r="M21" s="237">
        <f>IFERROR(G21/G$198,0)</f>
        <v>5.8673469387755102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'[7]Sch C'!D11</f>
        <v>0</v>
      </c>
      <c r="D22" s="273">
        <f>'[7]Sch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'[7]Sch C'!D12</f>
        <v>40683</v>
      </c>
      <c r="D23" s="273">
        <f>'[7]Sch C'!F12</f>
        <v>8113</v>
      </c>
      <c r="E23" s="259">
        <f t="shared" si="2"/>
        <v>48796</v>
      </c>
      <c r="F23" s="183"/>
      <c r="G23" s="183">
        <f t="shared" si="3"/>
        <v>48796</v>
      </c>
      <c r="H23" s="181">
        <f t="shared" si="4"/>
        <v>4.7846674138419615E-2</v>
      </c>
      <c r="J23" s="189">
        <v>2080</v>
      </c>
      <c r="K23" s="189">
        <v>2080</v>
      </c>
      <c r="M23" s="237">
        <f t="shared" si="5"/>
        <v>8.8913994169096213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'[7]Sch C'!D13</f>
        <v>96401</v>
      </c>
      <c r="D24" s="273">
        <f>'[7]Sch C'!F13</f>
        <v>-60249</v>
      </c>
      <c r="E24" s="259">
        <f t="shared" si="2"/>
        <v>36152</v>
      </c>
      <c r="F24" s="183"/>
      <c r="G24" s="183">
        <f t="shared" si="3"/>
        <v>36152</v>
      </c>
      <c r="H24" s="181">
        <f t="shared" si="4"/>
        <v>3.5448663075910852E-2</v>
      </c>
      <c r="J24" s="136"/>
      <c r="K24" s="136"/>
      <c r="M24" s="237">
        <f t="shared" si="5"/>
        <v>6.5874635568513122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'[7]Sch C'!D14</f>
        <v>0</v>
      </c>
      <c r="D25" s="273">
        <f>'[7]Sch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'[7]Sch C'!D15</f>
        <v>0</v>
      </c>
      <c r="D26" s="273">
        <f>'[7]Sch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'[7]Sch C'!D16</f>
        <v>0</v>
      </c>
      <c r="D27" s="273">
        <f>'[7]Sch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'[7]Sch C'!D17</f>
        <v>638</v>
      </c>
      <c r="D28" s="273">
        <f>'[7]Sch C'!F17</f>
        <v>187</v>
      </c>
      <c r="E28" s="259">
        <f t="shared" si="2"/>
        <v>825</v>
      </c>
      <c r="F28" s="183"/>
      <c r="G28" s="183">
        <f t="shared" si="3"/>
        <v>825</v>
      </c>
      <c r="H28" s="181">
        <f t="shared" si="4"/>
        <v>8.089496303835598E-4</v>
      </c>
      <c r="J28" s="136"/>
      <c r="K28" s="136"/>
      <c r="M28" s="237">
        <f t="shared" si="5"/>
        <v>0.15032798833819241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'[7]Sch C'!D18</f>
        <v>3476</v>
      </c>
      <c r="D29" s="273">
        <f>'[7]Sch C'!F18</f>
        <v>1049</v>
      </c>
      <c r="E29" s="259">
        <f t="shared" si="2"/>
        <v>4525</v>
      </c>
      <c r="F29" s="183"/>
      <c r="G29" s="183">
        <f t="shared" si="3"/>
        <v>4525</v>
      </c>
      <c r="H29" s="181">
        <f t="shared" si="4"/>
        <v>4.4369661545280098E-3</v>
      </c>
      <c r="J29" s="136"/>
      <c r="K29" s="136"/>
      <c r="M29" s="237">
        <f t="shared" si="5"/>
        <v>0.82452623906705536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'[7]Sch C'!D19</f>
        <v>2227</v>
      </c>
      <c r="D30" s="273">
        <f>'[7]Sch C'!F19</f>
        <v>209</v>
      </c>
      <c r="E30" s="259">
        <f t="shared" si="2"/>
        <v>2436</v>
      </c>
      <c r="F30" s="183"/>
      <c r="G30" s="183">
        <f t="shared" si="3"/>
        <v>2436</v>
      </c>
      <c r="H30" s="181">
        <f t="shared" si="4"/>
        <v>2.3886076358961839E-3</v>
      </c>
      <c r="J30" s="136"/>
      <c r="K30" s="136"/>
      <c r="M30" s="237">
        <f t="shared" si="5"/>
        <v>0.44387755102040816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'[7]Sch C'!D20</f>
        <v>1086</v>
      </c>
      <c r="D31" s="273">
        <f>'[7]Sch C'!F20</f>
        <v>1108</v>
      </c>
      <c r="E31" s="259">
        <f t="shared" si="2"/>
        <v>2194</v>
      </c>
      <c r="F31" s="183"/>
      <c r="G31" s="183">
        <f t="shared" si="3"/>
        <v>2194</v>
      </c>
      <c r="H31" s="181">
        <f t="shared" si="4"/>
        <v>2.1513157443170065E-3</v>
      </c>
      <c r="J31" s="136"/>
      <c r="K31" s="136"/>
      <c r="M31" s="237">
        <f t="shared" si="5"/>
        <v>0.39978134110787172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'[7]Sch C'!D21</f>
        <v>0</v>
      </c>
      <c r="D32" s="273">
        <f>'[7]Sch C'!F21</f>
        <v>2481</v>
      </c>
      <c r="E32" s="259">
        <f t="shared" si="2"/>
        <v>2481</v>
      </c>
      <c r="F32" s="183"/>
      <c r="G32" s="183">
        <f t="shared" si="3"/>
        <v>2481</v>
      </c>
      <c r="H32" s="181">
        <f t="shared" si="4"/>
        <v>2.4327321611898327E-3</v>
      </c>
      <c r="J32" s="136"/>
      <c r="K32" s="136"/>
      <c r="M32" s="237">
        <f t="shared" si="5"/>
        <v>0.45207725947521865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'[7]Sch C'!D22</f>
        <v>0</v>
      </c>
      <c r="D33" s="273">
        <f>'[7]Sch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'[7]Sch C'!D23</f>
        <v>250</v>
      </c>
      <c r="D34" s="273">
        <f>'[7]Sch C'!F23</f>
        <v>1505</v>
      </c>
      <c r="E34" s="259">
        <f t="shared" si="2"/>
        <v>1755</v>
      </c>
      <c r="F34" s="183"/>
      <c r="G34" s="183">
        <f t="shared" si="3"/>
        <v>1755</v>
      </c>
      <c r="H34" s="181">
        <f t="shared" si="4"/>
        <v>1.7208564864522999E-3</v>
      </c>
      <c r="J34" s="136"/>
      <c r="K34" s="136"/>
      <c r="M34" s="237">
        <f t="shared" si="5"/>
        <v>0.31978862973760935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'[7]Sch C'!D24</f>
        <v>2239</v>
      </c>
      <c r="D35" s="273">
        <f>'[7]Sch C'!F24</f>
        <v>3164</v>
      </c>
      <c r="E35" s="259">
        <f t="shared" si="2"/>
        <v>5403</v>
      </c>
      <c r="F35" s="183"/>
      <c r="G35" s="183">
        <f t="shared" si="3"/>
        <v>5403</v>
      </c>
      <c r="H35" s="181">
        <f t="shared" si="4"/>
        <v>5.2978846702574226E-3</v>
      </c>
      <c r="J35" s="136"/>
      <c r="K35" s="136"/>
      <c r="M35" s="237">
        <f t="shared" si="5"/>
        <v>0.98451166180758021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'[7]Sch C'!D25</f>
        <v>0</v>
      </c>
      <c r="D36" s="273">
        <f>'[7]Sch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'[7]Sch C'!D26</f>
        <v>46428</v>
      </c>
      <c r="D37" s="273">
        <f>'[7]Sch C'!F26</f>
        <v>0</v>
      </c>
      <c r="E37" s="259">
        <f t="shared" si="2"/>
        <v>46428</v>
      </c>
      <c r="F37" s="183"/>
      <c r="G37" s="183">
        <f t="shared" si="3"/>
        <v>46428</v>
      </c>
      <c r="H37" s="181">
        <f t="shared" si="4"/>
        <v>4.5524743562967165E-2</v>
      </c>
      <c r="J37" s="136"/>
      <c r="K37" s="136"/>
      <c r="M37" s="237">
        <f t="shared" si="5"/>
        <v>8.4599125364431487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'[7]Sch C'!D27</f>
        <v>877</v>
      </c>
      <c r="D38" s="273">
        <f>'[7]Sch C'!F27</f>
        <v>205</v>
      </c>
      <c r="E38" s="259">
        <f t="shared" si="2"/>
        <v>1082</v>
      </c>
      <c r="F38" s="183"/>
      <c r="G38" s="183">
        <f t="shared" si="3"/>
        <v>1082</v>
      </c>
      <c r="H38" s="181">
        <f t="shared" si="4"/>
        <v>1.0609496970606202E-3</v>
      </c>
      <c r="J38" s="136"/>
      <c r="K38" s="136"/>
      <c r="M38" s="237">
        <f t="shared" si="5"/>
        <v>0.19715743440233235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'[7]Sch C'!D28</f>
        <v>-1775</v>
      </c>
      <c r="D39" s="273">
        <f>'[7]Sch C'!F28</f>
        <v>1775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'[7]Sch C'!D29</f>
        <v>0</v>
      </c>
      <c r="D40" s="273">
        <f>'[7]Sch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'[7]Sch C'!D30</f>
        <v>0</v>
      </c>
      <c r="D41" s="273">
        <f>'[7]Sch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'[7]Sch C'!D31</f>
        <v>-5</v>
      </c>
      <c r="D42" s="273">
        <f>'[7]Sch C'!F31</f>
        <v>5264</v>
      </c>
      <c r="E42" s="259">
        <f t="shared" si="2"/>
        <v>5259</v>
      </c>
      <c r="F42" s="183"/>
      <c r="G42" s="183">
        <f t="shared" si="3"/>
        <v>5259</v>
      </c>
      <c r="H42" s="181">
        <f t="shared" si="4"/>
        <v>5.156686189317747E-3</v>
      </c>
      <c r="J42" s="136"/>
      <c r="K42" s="136"/>
      <c r="M42" s="237">
        <f t="shared" si="5"/>
        <v>0.95827259475218662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'[7]Sch C'!D32</f>
        <v>0</v>
      </c>
      <c r="D43" s="273">
        <f>'[7]Sch C'!F32</f>
        <v>11624</v>
      </c>
      <c r="E43" s="259">
        <f t="shared" si="2"/>
        <v>11624</v>
      </c>
      <c r="F43" s="183"/>
      <c r="G43" s="183">
        <f t="shared" si="3"/>
        <v>11624</v>
      </c>
      <c r="H43" s="181">
        <f t="shared" si="4"/>
        <v>1.1397855155852727E-2</v>
      </c>
      <c r="J43" s="136"/>
      <c r="K43" s="136"/>
      <c r="M43" s="237">
        <f t="shared" si="5"/>
        <v>2.1180758017492711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'[7]Sch C'!D33</f>
        <v>0</v>
      </c>
      <c r="D44" s="273">
        <f>'[7]Sch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'[7]Sch C'!D34</f>
        <v>0</v>
      </c>
      <c r="D45" s="273">
        <f>'[7]Sch C'!F34</f>
        <v>2414</v>
      </c>
      <c r="E45" s="259">
        <f t="shared" si="2"/>
        <v>2414</v>
      </c>
      <c r="F45" s="183"/>
      <c r="G45" s="183">
        <f t="shared" si="3"/>
        <v>2414</v>
      </c>
      <c r="H45" s="181">
        <f t="shared" si="4"/>
        <v>2.3670356457526224E-3</v>
      </c>
      <c r="J45" s="136"/>
      <c r="K45" s="136"/>
      <c r="M45" s="237">
        <f t="shared" si="5"/>
        <v>0.43986880466472306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'[7]Sch C'!D35</f>
        <v>0</v>
      </c>
      <c r="D46" s="273">
        <f>'[7]Sch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'[7]Sch C'!D36</f>
        <v>0</v>
      </c>
      <c r="D47" s="273">
        <f>'[7]Sch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'[7]Sch C'!D37</f>
        <v>0</v>
      </c>
      <c r="D48" s="273">
        <f>'[7]Sch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'[7]Sch C'!D38</f>
        <v>0</v>
      </c>
      <c r="D49" s="273">
        <f>'[7]Sch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'[7]Sch C'!D39</f>
        <v>0</v>
      </c>
      <c r="D50" s="273">
        <f>'[7]Sch C'!F39</f>
        <v>0</v>
      </c>
      <c r="E50" s="259">
        <f t="shared" si="2"/>
        <v>0</v>
      </c>
      <c r="F50" s="183"/>
      <c r="G50" s="183">
        <f t="shared" si="3"/>
        <v>0</v>
      </c>
      <c r="H50" s="181">
        <f t="shared" si="4"/>
        <v>0</v>
      </c>
      <c r="J50" s="136"/>
      <c r="K50" s="136"/>
      <c r="M50" s="237">
        <f t="shared" si="5"/>
        <v>0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'[7]Sch C'!D40</f>
        <v>0</v>
      </c>
      <c r="D51" s="273">
        <f>'[7]Sch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'[7]Sch C'!D41</f>
        <v>0</v>
      </c>
      <c r="D52" s="273">
        <f>'[7]Sch C'!F41</f>
        <v>0</v>
      </c>
      <c r="E52" s="259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'[7]Sch C'!D42</f>
        <v>383</v>
      </c>
      <c r="D53" s="273">
        <f>'[7]Sch C'!F42</f>
        <v>0</v>
      </c>
      <c r="E53" s="259">
        <f t="shared" si="2"/>
        <v>383</v>
      </c>
      <c r="F53" s="183"/>
      <c r="G53" s="183">
        <f t="shared" si="3"/>
        <v>383</v>
      </c>
      <c r="H53" s="181">
        <f t="shared" si="4"/>
        <v>3.7554873749927683E-4</v>
      </c>
      <c r="J53" s="136"/>
      <c r="K53" s="136"/>
      <c r="M53" s="237">
        <f t="shared" si="5"/>
        <v>6.9788629737609326E-2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'[7]Sch C'!D43</f>
        <v>0</v>
      </c>
      <c r="D54" s="273">
        <f>'[7]Sch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'[7]Sch C'!D44</f>
        <v>0</v>
      </c>
      <c r="D55" s="273">
        <f>'[7]Sch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'[7]Sch C'!D45</f>
        <v>2279</v>
      </c>
      <c r="D56" s="273">
        <f>'[7]Sch C'!F45</f>
        <v>-2077</v>
      </c>
      <c r="E56" s="259">
        <f t="shared" si="2"/>
        <v>202</v>
      </c>
      <c r="F56" s="287"/>
      <c r="G56" s="183">
        <f t="shared" si="3"/>
        <v>202</v>
      </c>
      <c r="H56" s="181">
        <f t="shared" si="4"/>
        <v>1.9807009131815647E-4</v>
      </c>
      <c r="I56" s="279"/>
      <c r="J56" s="136"/>
      <c r="K56" s="136"/>
      <c r="M56" s="237">
        <f t="shared" si="5"/>
        <v>3.6807580174927114E-2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224235</v>
      </c>
      <c r="D57" s="273">
        <f>SUM(D21:D56)</f>
        <v>-20076</v>
      </c>
      <c r="E57" s="183">
        <f>SUM(E21:E56)</f>
        <v>204159</v>
      </c>
      <c r="F57" s="183">
        <f>SUM(F21:F56)</f>
        <v>0</v>
      </c>
      <c r="G57" s="183">
        <f t="shared" si="3"/>
        <v>204159</v>
      </c>
      <c r="H57" s="181">
        <f t="shared" si="4"/>
        <v>0.20018708798724508</v>
      </c>
      <c r="J57" s="136"/>
      <c r="K57" s="136"/>
      <c r="M57" s="237">
        <f t="shared" si="5"/>
        <v>37.200983965014579</v>
      </c>
      <c r="N57" s="243">
        <f>SUMMARY!M57</f>
        <v>39.672950949912064</v>
      </c>
      <c r="O57" s="238">
        <f>M57/N57-1</f>
        <v>-6.2308624029969284E-2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'[7]Sch C'!D57</f>
        <v>120242</v>
      </c>
      <c r="D60" s="273">
        <f>'[7]Sch C'!F57</f>
        <v>0</v>
      </c>
      <c r="E60" s="259">
        <f t="shared" ref="E60:E76" si="6">SUM(C60:D60)</f>
        <v>120242</v>
      </c>
      <c r="F60" s="179"/>
      <c r="G60" s="179">
        <f>IF(ISERROR(E60+F60),"",(E60+F60))</f>
        <v>120242</v>
      </c>
      <c r="H60" s="181">
        <f>IF(ISERROR(G60/$G$183),"",(G60/$G$183))</f>
        <v>0.11790269267464241</v>
      </c>
      <c r="J60" s="136"/>
      <c r="K60" s="136"/>
      <c r="M60" s="237">
        <f>IFERROR(G60/G$198,0)</f>
        <v>21.909985422740526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'[7]Sch C'!D58</f>
        <v>904</v>
      </c>
      <c r="D61" s="273">
        <f>'[7]Sch C'!F58</f>
        <v>0</v>
      </c>
      <c r="E61" s="259">
        <f t="shared" si="6"/>
        <v>904</v>
      </c>
      <c r="F61" s="179"/>
      <c r="G61" s="179">
        <f t="shared" ref="G61:G76" si="7">IF(ISERROR(E61+F61),"",(E61+F61))</f>
        <v>904</v>
      </c>
      <c r="H61" s="181">
        <f t="shared" ref="H61:H76" si="8">IF(ISERROR(G61/$G$183),"",(G61/$G$183))</f>
        <v>8.8641268589907641E-4</v>
      </c>
      <c r="J61" s="136"/>
      <c r="K61" s="136"/>
      <c r="M61" s="237">
        <f t="shared" ref="M61:M77" si="9">IFERROR(G61/G$198,0)</f>
        <v>0.16472303206997085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'[7]Sch C'!D59</f>
        <v>0</v>
      </c>
      <c r="D62" s="273">
        <f>'[7]Sch C'!F59</f>
        <v>0</v>
      </c>
      <c r="E62" s="259">
        <f t="shared" si="6"/>
        <v>0</v>
      </c>
      <c r="F62" s="179"/>
      <c r="G62" s="179">
        <f t="shared" si="7"/>
        <v>0</v>
      </c>
      <c r="H62" s="181">
        <f t="shared" si="8"/>
        <v>0</v>
      </c>
      <c r="J62" s="136"/>
      <c r="K62" s="136"/>
      <c r="M62" s="237">
        <f t="shared" si="9"/>
        <v>0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'[7]Sch C'!D60</f>
        <v>5144</v>
      </c>
      <c r="D63" s="273">
        <f>'[7]Sch C'!F60</f>
        <v>462</v>
      </c>
      <c r="E63" s="259">
        <f t="shared" si="6"/>
        <v>5606</v>
      </c>
      <c r="F63" s="179"/>
      <c r="G63" s="179">
        <f t="shared" si="7"/>
        <v>5606</v>
      </c>
      <c r="H63" s="181">
        <f t="shared" si="8"/>
        <v>5.4969353065821049E-3</v>
      </c>
      <c r="J63" s="136"/>
      <c r="K63" s="136"/>
      <c r="M63" s="237">
        <f t="shared" si="9"/>
        <v>1.0215014577259476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'[7]Sch C'!D61</f>
        <v>0</v>
      </c>
      <c r="D64" s="273">
        <f>'[7]Sch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'[7]Sch C'!D62</f>
        <v>0</v>
      </c>
      <c r="D65" s="273">
        <f>'[7]Sch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'[7]Sch C'!D63</f>
        <v>0</v>
      </c>
      <c r="D66" s="273">
        <f>'[7]Sch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'[7]Sch C'!D64</f>
        <v>1875</v>
      </c>
      <c r="D67" s="273">
        <f>'[7]Sch C'!F64</f>
        <v>0</v>
      </c>
      <c r="E67" s="259">
        <f t="shared" si="6"/>
        <v>1875</v>
      </c>
      <c r="F67" s="179"/>
      <c r="G67" s="179">
        <f t="shared" si="7"/>
        <v>1875</v>
      </c>
      <c r="H67" s="181">
        <f t="shared" si="8"/>
        <v>1.8385218872353632E-3</v>
      </c>
      <c r="J67" s="136"/>
      <c r="K67" s="136"/>
      <c r="M67" s="237">
        <f t="shared" si="9"/>
        <v>0.3416545189504373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'[7]Sch C'!D65</f>
        <v>0</v>
      </c>
      <c r="D68" s="273">
        <f>'[7]Sch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'[7]Sch C'!D66</f>
        <v>0</v>
      </c>
      <c r="D69" s="273">
        <f>'[7]Sch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'[7]Sch C'!D67</f>
        <v>0</v>
      </c>
      <c r="D70" s="273">
        <f>'[7]Sch C'!F67</f>
        <v>0</v>
      </c>
      <c r="E70" s="259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37">
        <f t="shared" si="9"/>
        <v>0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'[7]Sch C'!D68</f>
        <v>0</v>
      </c>
      <c r="D71" s="273">
        <f>'[7]Sch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'[7]Sch C'!D69</f>
        <v>642</v>
      </c>
      <c r="D72" s="273">
        <f>'[7]Sch C'!F69</f>
        <v>0</v>
      </c>
      <c r="E72" s="259">
        <f t="shared" si="6"/>
        <v>642</v>
      </c>
      <c r="F72" s="179"/>
      <c r="G72" s="179">
        <f t="shared" si="7"/>
        <v>642</v>
      </c>
      <c r="H72" s="181">
        <f t="shared" si="8"/>
        <v>6.2950989418938833E-4</v>
      </c>
      <c r="J72" s="136"/>
      <c r="K72" s="136"/>
      <c r="M72" s="237">
        <f t="shared" si="9"/>
        <v>0.11698250728862973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'[7]Sch C'!D70</f>
        <v>0</v>
      </c>
      <c r="D73" s="273">
        <f>'[7]Sch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'[7]Sch C'!D71</f>
        <v>166</v>
      </c>
      <c r="D74" s="273">
        <f>'[7]Sch C'!F71</f>
        <v>0</v>
      </c>
      <c r="E74" s="259">
        <f t="shared" si="6"/>
        <v>166</v>
      </c>
      <c r="F74" s="179"/>
      <c r="G74" s="179">
        <f t="shared" si="7"/>
        <v>166</v>
      </c>
      <c r="H74" s="181">
        <f t="shared" si="8"/>
        <v>1.6277047108323748E-4</v>
      </c>
      <c r="J74" s="136"/>
      <c r="K74" s="136"/>
      <c r="M74" s="237">
        <f t="shared" si="9"/>
        <v>3.0247813411078718E-2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'[7]Sch C'!D72</f>
        <v>1200</v>
      </c>
      <c r="D75" s="273">
        <f>'[7]Sch C'!F72</f>
        <v>0</v>
      </c>
      <c r="E75" s="259">
        <f t="shared" si="6"/>
        <v>1200</v>
      </c>
      <c r="F75" s="179"/>
      <c r="G75" s="179">
        <f t="shared" si="7"/>
        <v>1200</v>
      </c>
      <c r="H75" s="181">
        <f t="shared" si="8"/>
        <v>1.1766540078306325E-3</v>
      </c>
      <c r="J75" s="136"/>
      <c r="K75" s="136"/>
      <c r="M75" s="237">
        <f t="shared" si="9"/>
        <v>0.21865889212827988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'[7]Sch C'!D73</f>
        <v>0</v>
      </c>
      <c r="D76" s="273">
        <f>'[7]Sch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130173</v>
      </c>
      <c r="D77" s="273">
        <f>SUM(D60:D76)</f>
        <v>462</v>
      </c>
      <c r="E77" s="182">
        <f>SUM(E60:E76)</f>
        <v>130635</v>
      </c>
      <c r="F77" s="182">
        <f>SUM(F60:F76)</f>
        <v>0</v>
      </c>
      <c r="G77" s="183">
        <f>IF(ISERROR(E77+F77),"",(E77+F77))</f>
        <v>130635</v>
      </c>
      <c r="H77" s="181">
        <f>IF(ISERROR(G77/$G$183),"",(G77/$G$183))</f>
        <v>0.12809349692746222</v>
      </c>
      <c r="J77" s="136"/>
      <c r="K77" s="136"/>
      <c r="M77" s="237">
        <f t="shared" si="9"/>
        <v>23.80375364431487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'[7]Sch C'!D78</f>
        <v>44000</v>
      </c>
      <c r="D80" s="273">
        <f>'[7]Sch C'!F78</f>
        <v>0</v>
      </c>
      <c r="E80" s="259">
        <f t="shared" ref="E80:E91" si="10">SUM(C80:D80)</f>
        <v>44000</v>
      </c>
      <c r="F80" s="180"/>
      <c r="G80" s="180">
        <f>IF(ISERROR(E80+F80),"",(E80+F80))</f>
        <v>44000</v>
      </c>
      <c r="H80" s="181">
        <f t="shared" ref="H80:H92" si="11">IF(ISERROR(G80/$G$183),"",(G80/$G$183))</f>
        <v>4.3143980287123192E-2</v>
      </c>
      <c r="J80" s="261">
        <v>2080</v>
      </c>
      <c r="K80" s="261">
        <v>2080</v>
      </c>
      <c r="M80" s="237">
        <f t="shared" ref="M80:M92" si="12">IFERROR(G80/G$198,0)</f>
        <v>8.017492711370263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'[7]Sch C'!D79</f>
        <v>0</v>
      </c>
      <c r="D81" s="273">
        <f>'[7]Sch C'!F79</f>
        <v>9307</v>
      </c>
      <c r="E81" s="259">
        <f t="shared" si="10"/>
        <v>9307</v>
      </c>
      <c r="F81" s="183"/>
      <c r="G81" s="183">
        <f>IF(ISERROR(E81+F81),"",(E81+F81))</f>
        <v>9307</v>
      </c>
      <c r="H81" s="181">
        <f t="shared" si="11"/>
        <v>9.1259323757330799E-3</v>
      </c>
      <c r="J81" s="136"/>
      <c r="K81" s="136"/>
      <c r="M81" s="237">
        <f t="shared" si="12"/>
        <v>1.6958819241982508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'[7]Sch C'!D80</f>
        <v>1140</v>
      </c>
      <c r="D82" s="273">
        <f>'[7]Sch C'!F80</f>
        <v>44</v>
      </c>
      <c r="E82" s="259">
        <f t="shared" si="10"/>
        <v>1184</v>
      </c>
      <c r="F82" s="183"/>
      <c r="G82" s="183">
        <f>IF(ISERROR(E82+F82),"",(E82+F82))</f>
        <v>1184</v>
      </c>
      <c r="H82" s="181">
        <f t="shared" si="11"/>
        <v>1.1609652877262241E-3</v>
      </c>
      <c r="J82" s="136"/>
      <c r="K82" s="136"/>
      <c r="M82" s="237">
        <f t="shared" si="12"/>
        <v>0.21574344023323616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'[7]Sch C'!D81</f>
        <v>0</v>
      </c>
      <c r="D83" s="273">
        <f>'[7]Sch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'[7]Sch C'!D82</f>
        <v>0</v>
      </c>
      <c r="D84" s="273">
        <f>'[7]Sch C'!F82</f>
        <v>0</v>
      </c>
      <c r="E84" s="259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'[7]Sch C'!D83</f>
        <v>10622</v>
      </c>
      <c r="D85" s="273">
        <f>'[7]Sch C'!F83</f>
        <v>1444</v>
      </c>
      <c r="E85" s="259">
        <f t="shared" si="10"/>
        <v>12066</v>
      </c>
      <c r="F85" s="183"/>
      <c r="G85" s="183">
        <f t="shared" si="13"/>
        <v>12066</v>
      </c>
      <c r="H85" s="181">
        <f t="shared" si="11"/>
        <v>1.1831256048737009E-2</v>
      </c>
      <c r="J85" s="136"/>
      <c r="K85" s="136"/>
      <c r="M85" s="237">
        <f t="shared" si="12"/>
        <v>2.198615160349854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'[7]Sch C'!D84</f>
        <v>200</v>
      </c>
      <c r="D86" s="273">
        <f>'[7]Sch C'!F84</f>
        <v>166</v>
      </c>
      <c r="E86" s="259">
        <f t="shared" si="10"/>
        <v>366</v>
      </c>
      <c r="F86" s="183"/>
      <c r="G86" s="183">
        <f t="shared" si="13"/>
        <v>366</v>
      </c>
      <c r="H86" s="181">
        <f t="shared" si="11"/>
        <v>3.588794723883429E-4</v>
      </c>
      <c r="J86" s="136"/>
      <c r="K86" s="136"/>
      <c r="M86" s="237">
        <f t="shared" si="12"/>
        <v>6.6690962099125367E-2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'[7]Sch C'!D85</f>
        <v>0</v>
      </c>
      <c r="D87" s="273">
        <f>'[7]Sch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'[7]Sch C'!D86</f>
        <v>9209</v>
      </c>
      <c r="D88" s="273">
        <f>'[7]Sch C'!F86</f>
        <v>1932</v>
      </c>
      <c r="E88" s="259">
        <f t="shared" si="10"/>
        <v>11141</v>
      </c>
      <c r="F88" s="183"/>
      <c r="G88" s="183">
        <f t="shared" si="13"/>
        <v>11141</v>
      </c>
      <c r="H88" s="181">
        <f t="shared" si="11"/>
        <v>1.0924251917700897E-2</v>
      </c>
      <c r="J88" s="136"/>
      <c r="K88" s="136"/>
      <c r="M88" s="237">
        <f t="shared" si="12"/>
        <v>2.0300655976676385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'[7]Sch C'!D87</f>
        <v>14050</v>
      </c>
      <c r="D89" s="273">
        <f>'[7]Sch C'!F87</f>
        <v>446</v>
      </c>
      <c r="E89" s="259">
        <f t="shared" si="10"/>
        <v>14496</v>
      </c>
      <c r="F89" s="183"/>
      <c r="G89" s="183">
        <f t="shared" si="13"/>
        <v>14496</v>
      </c>
      <c r="H89" s="181">
        <f t="shared" si="11"/>
        <v>1.4213980414594039E-2</v>
      </c>
      <c r="J89" s="136"/>
      <c r="K89" s="136"/>
      <c r="M89" s="237">
        <f t="shared" si="12"/>
        <v>2.6413994169096209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'[7]Sch C'!D88</f>
        <v>0</v>
      </c>
      <c r="D90" s="273">
        <f>'[7]Sch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'[7]Sch C'!D89</f>
        <v>0</v>
      </c>
      <c r="D91" s="273">
        <f>'[7]Sch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79221</v>
      </c>
      <c r="D92" s="273">
        <f>SUM(D80:D91)</f>
        <v>13339</v>
      </c>
      <c r="E92" s="183">
        <f>SUM(E80:E91)</f>
        <v>92560</v>
      </c>
      <c r="F92" s="183">
        <f>SUM(F80:F91)</f>
        <v>0</v>
      </c>
      <c r="G92" s="183">
        <f>IF(ISERROR(E92+F92),"",(E92+F92))</f>
        <v>92560</v>
      </c>
      <c r="H92" s="181">
        <f t="shared" si="11"/>
        <v>9.0759245804002783E-2</v>
      </c>
      <c r="J92" s="136"/>
      <c r="K92" s="136"/>
      <c r="M92" s="237">
        <f t="shared" si="12"/>
        <v>16.865889212827987</v>
      </c>
      <c r="N92" s="243">
        <f>SUMMARY!M92</f>
        <v>10.36414021133649</v>
      </c>
      <c r="O92" s="238">
        <f>M92/N92-1</f>
        <v>0.62733124686790354</v>
      </c>
      <c r="P92" s="178">
        <f>IF(O92&gt;=0.2,0.6,0)</f>
        <v>0.6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'[7]Sch C'!D93</f>
        <v>1536</v>
      </c>
      <c r="D95" s="273">
        <f>'[7]Sch C'!F93</f>
        <v>0</v>
      </c>
      <c r="E95" s="259">
        <f t="shared" ref="E95:E100" si="14">SUM(C95:D95)</f>
        <v>1536</v>
      </c>
      <c r="F95" s="180"/>
      <c r="G95" s="180">
        <f t="shared" ref="G95:G101" si="15">IF(ISERROR(E95+F95),"",(E95+F95))</f>
        <v>1536</v>
      </c>
      <c r="H95" s="181">
        <f t="shared" ref="H95:H101" si="16">IF(ISERROR(G95/$G$183),"",(G95/$G$183))</f>
        <v>1.5061171300232096E-3</v>
      </c>
      <c r="J95" s="261">
        <v>96</v>
      </c>
      <c r="K95" s="261">
        <v>96</v>
      </c>
      <c r="M95" s="237">
        <f t="shared" ref="M95:M101" si="17">IFERROR(G95/G$198,0)</f>
        <v>0.27988338192419826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'[7]Sch C'!D94</f>
        <v>0</v>
      </c>
      <c r="D96" s="273">
        <f>'[7]Sch C'!F94</f>
        <v>325</v>
      </c>
      <c r="E96" s="259">
        <f t="shared" si="14"/>
        <v>325</v>
      </c>
      <c r="F96" s="183"/>
      <c r="G96" s="183">
        <f t="shared" si="15"/>
        <v>325</v>
      </c>
      <c r="H96" s="181">
        <f t="shared" si="16"/>
        <v>3.1867712712079627E-4</v>
      </c>
      <c r="J96" s="136"/>
      <c r="K96" s="136"/>
      <c r="M96" s="237">
        <f t="shared" si="17"/>
        <v>5.9220116618075802E-2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'[7]Sch C'!D95</f>
        <v>770</v>
      </c>
      <c r="D97" s="273">
        <f>'[7]Sch C'!F95</f>
        <v>0</v>
      </c>
      <c r="E97" s="259">
        <f t="shared" si="14"/>
        <v>770</v>
      </c>
      <c r="F97" s="183"/>
      <c r="G97" s="183">
        <f t="shared" si="15"/>
        <v>770</v>
      </c>
      <c r="H97" s="181">
        <f t="shared" si="16"/>
        <v>7.5501965502465583E-4</v>
      </c>
      <c r="J97" s="136"/>
      <c r="K97" s="136"/>
      <c r="M97" s="237">
        <f t="shared" si="17"/>
        <v>0.14030612244897958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'[7]Sch C'!D96</f>
        <v>46307</v>
      </c>
      <c r="D98" s="273">
        <f>'[7]Sch C'!F96</f>
        <v>3</v>
      </c>
      <c r="E98" s="259">
        <f t="shared" si="14"/>
        <v>46310</v>
      </c>
      <c r="F98" s="183"/>
      <c r="G98" s="183">
        <f t="shared" si="15"/>
        <v>46310</v>
      </c>
      <c r="H98" s="181">
        <f t="shared" si="16"/>
        <v>4.5409039252197157E-2</v>
      </c>
      <c r="J98" s="136"/>
      <c r="K98" s="136"/>
      <c r="M98" s="237">
        <f t="shared" si="17"/>
        <v>8.438411078717202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'[7]Sch C'!D97</f>
        <v>5592</v>
      </c>
      <c r="D99" s="273">
        <f>'[7]Sch C'!F97</f>
        <v>38</v>
      </c>
      <c r="E99" s="259">
        <f t="shared" si="14"/>
        <v>5630</v>
      </c>
      <c r="F99" s="183"/>
      <c r="G99" s="183">
        <f t="shared" si="15"/>
        <v>5630</v>
      </c>
      <c r="H99" s="181">
        <f t="shared" si="16"/>
        <v>5.5204683867387172E-3</v>
      </c>
      <c r="J99" s="136"/>
      <c r="K99" s="136"/>
      <c r="M99" s="237">
        <f t="shared" si="17"/>
        <v>1.0258746355685131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'[7]Sch C'!D98</f>
        <v>0</v>
      </c>
      <c r="D100" s="273">
        <f>'[7]Sch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54205</v>
      </c>
      <c r="D101" s="273">
        <f>SUM(D95:D100)</f>
        <v>366</v>
      </c>
      <c r="E101" s="183">
        <f>SUM(E95:E100)</f>
        <v>54571</v>
      </c>
      <c r="F101" s="183">
        <f>SUM(F95:F100)</f>
        <v>0</v>
      </c>
      <c r="G101" s="183">
        <f t="shared" si="15"/>
        <v>54571</v>
      </c>
      <c r="H101" s="181">
        <f t="shared" si="16"/>
        <v>5.3509321551104536E-2</v>
      </c>
      <c r="J101" s="136"/>
      <c r="K101" s="136"/>
      <c r="M101" s="237">
        <f t="shared" si="17"/>
        <v>9.9436953352769688</v>
      </c>
      <c r="N101" s="243">
        <f>SUMMARY!M101</f>
        <v>14.116295917008408</v>
      </c>
      <c r="O101" s="238">
        <f>M101/N101-1</f>
        <v>-0.29558749733377054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'[7]Sch C'!D102</f>
        <v>0</v>
      </c>
      <c r="D104" s="273">
        <f>'[7]Sch C'!F102</f>
        <v>0</v>
      </c>
      <c r="E104" s="259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'[7]Sch C'!D103</f>
        <v>0</v>
      </c>
      <c r="D105" s="273">
        <f>'[7]Sch C'!F103</f>
        <v>0</v>
      </c>
      <c r="E105" s="259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'[7]Sch C'!D104</f>
        <v>997</v>
      </c>
      <c r="D106" s="273">
        <f>'[7]Sch C'!F104</f>
        <v>0</v>
      </c>
      <c r="E106" s="259">
        <f t="shared" si="18"/>
        <v>997</v>
      </c>
      <c r="F106" s="183"/>
      <c r="G106" s="183">
        <f t="shared" si="19"/>
        <v>997</v>
      </c>
      <c r="H106" s="181">
        <f t="shared" si="20"/>
        <v>9.7760337150595042E-4</v>
      </c>
      <c r="J106" s="136"/>
      <c r="K106" s="136"/>
      <c r="M106" s="237">
        <f t="shared" si="21"/>
        <v>0.18166909620991253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'[7]Sch C'!D105</f>
        <v>0</v>
      </c>
      <c r="D107" s="273">
        <f>'[7]Sch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'[7]Sch C'!D106</f>
        <v>408</v>
      </c>
      <c r="D108" s="273">
        <f>'[7]Sch C'!F106</f>
        <v>0</v>
      </c>
      <c r="E108" s="259">
        <f t="shared" si="18"/>
        <v>408</v>
      </c>
      <c r="F108" s="183"/>
      <c r="G108" s="183">
        <f t="shared" si="19"/>
        <v>408</v>
      </c>
      <c r="H108" s="181">
        <f t="shared" si="20"/>
        <v>4.0006236266241504E-4</v>
      </c>
      <c r="J108" s="136"/>
      <c r="K108" s="136"/>
      <c r="M108" s="237">
        <f t="shared" si="21"/>
        <v>7.4344023323615158E-2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'[7]Sch C'!D107</f>
        <v>0</v>
      </c>
      <c r="D109" s="273">
        <f>'[7]Sch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1405</v>
      </c>
      <c r="D110" s="273">
        <f>SUM(D104:D109)</f>
        <v>0</v>
      </c>
      <c r="E110" s="183">
        <f>SUM(E104:E109)</f>
        <v>1405</v>
      </c>
      <c r="F110" s="183">
        <f>SUM(F104:F109)</f>
        <v>0</v>
      </c>
      <c r="G110" s="183">
        <f t="shared" si="19"/>
        <v>1405</v>
      </c>
      <c r="H110" s="181">
        <f t="shared" si="20"/>
        <v>1.3776657341683656E-3</v>
      </c>
      <c r="J110" s="136"/>
      <c r="K110" s="136"/>
      <c r="M110" s="237">
        <f t="shared" si="21"/>
        <v>0.25601311953352768</v>
      </c>
      <c r="N110" s="243">
        <f>SUMMARY!M110</f>
        <v>2.6822243142585545</v>
      </c>
      <c r="O110" s="238">
        <f>M110/N110-1</f>
        <v>-0.90455193543188162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'[7]Sch C'!D121</f>
        <v>0</v>
      </c>
      <c r="D113" s="273">
        <f>'[7]Sch C'!F121</f>
        <v>0</v>
      </c>
      <c r="E113" s="259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'[7]Sch C'!D122</f>
        <v>0</v>
      </c>
      <c r="D114" s="273">
        <f>'[7]Sch C'!F122</f>
        <v>0</v>
      </c>
      <c r="E114" s="259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'[7]Sch C'!D123</f>
        <v>4444</v>
      </c>
      <c r="D115" s="273">
        <f>'[7]Sch C'!F123</f>
        <v>0</v>
      </c>
      <c r="E115" s="259">
        <f t="shared" si="22"/>
        <v>4444</v>
      </c>
      <c r="F115" s="183"/>
      <c r="G115" s="183">
        <f t="shared" si="23"/>
        <v>4444</v>
      </c>
      <c r="H115" s="181">
        <f t="shared" si="24"/>
        <v>4.3575420089994417E-3</v>
      </c>
      <c r="J115" s="136"/>
      <c r="K115" s="136"/>
      <c r="M115" s="237">
        <f t="shared" si="25"/>
        <v>0.80976676384839652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'[7]Sch C'!D124</f>
        <v>4925</v>
      </c>
      <c r="D116" s="273">
        <f>'[7]Sch C'!F124</f>
        <v>0</v>
      </c>
      <c r="E116" s="259">
        <f t="shared" si="22"/>
        <v>4925</v>
      </c>
      <c r="F116" s="183"/>
      <c r="G116" s="183">
        <f t="shared" si="23"/>
        <v>4925</v>
      </c>
      <c r="H116" s="181">
        <f t="shared" si="24"/>
        <v>4.8291841571382202E-3</v>
      </c>
      <c r="J116" s="136"/>
      <c r="K116" s="136"/>
      <c r="M116" s="237">
        <f t="shared" si="25"/>
        <v>0.89741253644314867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'[7]Sch C'!D125</f>
        <v>0</v>
      </c>
      <c r="D117" s="273">
        <f>'[7]Sch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9369</v>
      </c>
      <c r="D118" s="273">
        <f>SUM(D113:D117)</f>
        <v>0</v>
      </c>
      <c r="E118" s="183">
        <f>SUM(E113:E117)</f>
        <v>9369</v>
      </c>
      <c r="F118" s="183">
        <f>SUM(F113:F117)</f>
        <v>0</v>
      </c>
      <c r="G118" s="183">
        <f t="shared" si="23"/>
        <v>9369</v>
      </c>
      <c r="H118" s="181">
        <f t="shared" si="24"/>
        <v>9.1867261661376619E-3</v>
      </c>
      <c r="J118" s="136"/>
      <c r="K118" s="136"/>
      <c r="M118" s="237">
        <f t="shared" si="25"/>
        <v>1.7071793002915452</v>
      </c>
      <c r="N118" s="243">
        <f>SUMMARY!M118</f>
        <v>3.1676887539780583</v>
      </c>
      <c r="O118" s="238">
        <f>M118/N118-1</f>
        <v>-0.46106469641386671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'[7]Sch C'!D129</f>
        <v>0</v>
      </c>
      <c r="D121" s="273">
        <f>'[7]Sch C'!F129</f>
        <v>0</v>
      </c>
      <c r="E121" s="259">
        <f t="shared" ref="E121:E131" si="26">SUM(C121:D121)</f>
        <v>0</v>
      </c>
      <c r="F121" s="180"/>
      <c r="G121" s="180">
        <f t="shared" ref="G121:G131" si="27">IF(ISERROR(E121+F121),"",(E121+F121))</f>
        <v>0</v>
      </c>
      <c r="H121" s="181">
        <f t="shared" ref="H121:H131" si="28">IF(ISERROR(G121/$G$183),"",(G121/$G$183))</f>
        <v>0</v>
      </c>
      <c r="J121" s="261">
        <v>0</v>
      </c>
      <c r="K121" s="261">
        <v>0</v>
      </c>
      <c r="M121" s="237">
        <f t="shared" ref="M121:M131" si="29">IFERROR(G121/G$198,0)</f>
        <v>0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'[7]Sch C'!D130</f>
        <v>0</v>
      </c>
      <c r="D122" s="273">
        <f>'[7]Sch C'!F130</f>
        <v>0</v>
      </c>
      <c r="E122" s="259">
        <f t="shared" si="26"/>
        <v>0</v>
      </c>
      <c r="F122" s="180"/>
      <c r="G122" s="180">
        <f t="shared" si="27"/>
        <v>0</v>
      </c>
      <c r="H122" s="181">
        <f t="shared" si="28"/>
        <v>0</v>
      </c>
      <c r="J122" s="136"/>
      <c r="K122" s="136"/>
      <c r="M122" s="237">
        <f t="shared" si="29"/>
        <v>0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'[7]Sch C'!D131</f>
        <v>316144</v>
      </c>
      <c r="D123" s="273">
        <f>'[7]Sch C'!F131</f>
        <v>0</v>
      </c>
      <c r="E123" s="259">
        <f t="shared" si="26"/>
        <v>316144</v>
      </c>
      <c r="F123" s="180"/>
      <c r="G123" s="180">
        <f t="shared" si="27"/>
        <v>316144</v>
      </c>
      <c r="H123" s="181">
        <f t="shared" si="28"/>
        <v>0.30999342054300622</v>
      </c>
      <c r="J123" s="261">
        <v>24802</v>
      </c>
      <c r="K123" s="261">
        <v>25729</v>
      </c>
      <c r="M123" s="237">
        <f t="shared" si="29"/>
        <v>57.606413994169095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'[7]Sch C'!D132</f>
        <v>0</v>
      </c>
      <c r="D124" s="273">
        <f>'[7]Sch C'!F132</f>
        <v>66869</v>
      </c>
      <c r="E124" s="259">
        <f t="shared" si="26"/>
        <v>66869</v>
      </c>
      <c r="F124" s="180"/>
      <c r="G124" s="180">
        <f t="shared" si="27"/>
        <v>66869</v>
      </c>
      <c r="H124" s="181">
        <f t="shared" si="28"/>
        <v>6.556806404135547E-2</v>
      </c>
      <c r="J124" s="136"/>
      <c r="K124" s="136"/>
      <c r="M124" s="237">
        <f t="shared" si="29"/>
        <v>12.184584548104956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'[7]Sch C'!D133</f>
        <v>0</v>
      </c>
      <c r="D125" s="273">
        <f>'[7]Sch C'!F133</f>
        <v>0</v>
      </c>
      <c r="E125" s="259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1">
        <v>0</v>
      </c>
      <c r="K125" s="261">
        <v>0</v>
      </c>
      <c r="M125" s="237">
        <f t="shared" si="29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'[7]Sch C'!D134</f>
        <v>5367</v>
      </c>
      <c r="D126" s="273">
        <f>'[7]Sch C'!F134</f>
        <v>17</v>
      </c>
      <c r="E126" s="259">
        <f t="shared" si="26"/>
        <v>5384</v>
      </c>
      <c r="F126" s="180"/>
      <c r="G126" s="180">
        <f t="shared" si="27"/>
        <v>5384</v>
      </c>
      <c r="H126" s="181">
        <f t="shared" si="28"/>
        <v>5.2792543151334373E-3</v>
      </c>
      <c r="J126" s="136"/>
      <c r="K126" s="136"/>
      <c r="M126" s="237">
        <f t="shared" si="29"/>
        <v>0.98104956268221577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'[7]Sch C'!D135</f>
        <v>0</v>
      </c>
      <c r="D127" s="273">
        <f>'[7]Sch C'!F135</f>
        <v>0</v>
      </c>
      <c r="E127" s="259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37">
        <f t="shared" si="29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'[7]Sch C'!D136</f>
        <v>0</v>
      </c>
      <c r="D128" s="273">
        <f>'[7]Sch C'!F136</f>
        <v>0</v>
      </c>
      <c r="E128" s="259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37">
        <f t="shared" si="29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'[7]Sch C'!D137</f>
        <v>0</v>
      </c>
      <c r="D129" s="273">
        <f>'[7]Sch C'!F137</f>
        <v>0</v>
      </c>
      <c r="E129" s="259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37">
        <f t="shared" si="29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'[7]Sch C'!D138</f>
        <v>0</v>
      </c>
      <c r="D130" s="273">
        <f>'[7]Sch C'!F138</f>
        <v>0</v>
      </c>
      <c r="E130" s="259">
        <f t="shared" si="26"/>
        <v>0</v>
      </c>
      <c r="F130" s="180"/>
      <c r="G130" s="180">
        <f t="shared" si="27"/>
        <v>0</v>
      </c>
      <c r="H130" s="181">
        <f t="shared" si="28"/>
        <v>0</v>
      </c>
      <c r="J130" s="136"/>
      <c r="K130" s="136"/>
      <c r="M130" s="237">
        <f t="shared" si="29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'[7]Sch C'!D139</f>
        <v>0</v>
      </c>
      <c r="D131" s="273">
        <f>'[7]Sch C'!F139</f>
        <v>0</v>
      </c>
      <c r="E131" s="259">
        <f t="shared" si="26"/>
        <v>0</v>
      </c>
      <c r="F131" s="180"/>
      <c r="G131" s="180">
        <f t="shared" si="27"/>
        <v>0</v>
      </c>
      <c r="H131" s="181">
        <f t="shared" si="28"/>
        <v>0</v>
      </c>
      <c r="J131" s="136"/>
      <c r="K131" s="136"/>
      <c r="M131" s="237">
        <f t="shared" si="29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'[7]Sch C'!D141</f>
        <v>0</v>
      </c>
      <c r="D133" s="273">
        <f>'[7]Sch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'[7]Sch C'!D142</f>
        <v>0</v>
      </c>
      <c r="D134" s="273">
        <f>'[7]Sch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'[7]Sch C'!D143</f>
        <v>0</v>
      </c>
      <c r="D135" s="273">
        <f>'[7]Sch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'[7]Sch C'!D144</f>
        <v>0</v>
      </c>
      <c r="D136" s="273">
        <f>'[7]Sch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'[7]Sch C'!D145</f>
        <v>0</v>
      </c>
      <c r="D137" s="273">
        <f>'[7]Sch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'[7]Sch C'!D146</f>
        <v>0</v>
      </c>
      <c r="D138" s="273">
        <f>'[7]Sch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321511</v>
      </c>
      <c r="D139" s="273">
        <f>SUM(D121:D138)</f>
        <v>66886</v>
      </c>
      <c r="E139" s="182">
        <f>SUM(E121:E138)</f>
        <v>388397</v>
      </c>
      <c r="F139" s="182">
        <f>SUM(F121:F138)</f>
        <v>0</v>
      </c>
      <c r="G139" s="183">
        <f t="shared" si="33"/>
        <v>388397</v>
      </c>
      <c r="H139" s="181">
        <f t="shared" si="31"/>
        <v>0.3808407388994951</v>
      </c>
      <c r="J139" s="136"/>
      <c r="K139" s="136"/>
      <c r="M139" s="237">
        <f t="shared" si="32"/>
        <v>70.772048104956269</v>
      </c>
      <c r="N139" s="243">
        <f>SUMMARY!M139</f>
        <v>37.231450929246826</v>
      </c>
      <c r="O139" s="238">
        <f>M139/N139-1</f>
        <v>0.90086731348312665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'[7]Sch C'!D150</f>
        <v>24356</v>
      </c>
      <c r="D142" s="273">
        <f>'[7]Sch C'!F150</f>
        <v>86</v>
      </c>
      <c r="E142" s="259">
        <f t="shared" ref="E142:E146" si="34">SUM(C142:D142)</f>
        <v>24442</v>
      </c>
      <c r="F142" s="180"/>
      <c r="G142" s="180">
        <f t="shared" ref="G142:G147" si="35">IF(ISERROR(E142+F142),"",(E142+F142))</f>
        <v>24442</v>
      </c>
      <c r="H142" s="181">
        <f t="shared" ref="H142:H147" si="36">IF(ISERROR(G142/$G$183),"",(G142/$G$183))</f>
        <v>2.3966481049496932E-2</v>
      </c>
      <c r="J142" s="261">
        <v>1982</v>
      </c>
      <c r="K142" s="261">
        <v>2089</v>
      </c>
      <c r="M142" s="237">
        <f t="shared" ref="M142:M147" si="37">IFERROR(G142/G$198,0)</f>
        <v>4.4537172011661808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'[7]Sch C'!D151</f>
        <v>0</v>
      </c>
      <c r="D143" s="273">
        <f>'[7]Sch C'!F151</f>
        <v>5152</v>
      </c>
      <c r="E143" s="259">
        <f t="shared" si="34"/>
        <v>5152</v>
      </c>
      <c r="F143" s="183"/>
      <c r="G143" s="183">
        <f t="shared" si="35"/>
        <v>5152</v>
      </c>
      <c r="H143" s="181">
        <f t="shared" si="36"/>
        <v>5.0517678736195148E-3</v>
      </c>
      <c r="J143" s="136"/>
      <c r="K143" s="136"/>
      <c r="M143" s="237">
        <f t="shared" si="37"/>
        <v>0.93877551020408168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'[7]Sch C'!D152</f>
        <v>4010</v>
      </c>
      <c r="D144" s="273">
        <f>'[7]Sch C'!F152</f>
        <v>313</v>
      </c>
      <c r="E144" s="259">
        <f t="shared" si="34"/>
        <v>4323</v>
      </c>
      <c r="F144" s="183"/>
      <c r="G144" s="183">
        <f t="shared" si="35"/>
        <v>4323</v>
      </c>
      <c r="H144" s="181">
        <f t="shared" si="36"/>
        <v>4.238896063209853E-3</v>
      </c>
      <c r="J144" s="136"/>
      <c r="K144" s="136"/>
      <c r="M144" s="237">
        <f t="shared" si="37"/>
        <v>0.78771865889212833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'[7]Sch C'!D153</f>
        <v>124</v>
      </c>
      <c r="D145" s="273">
        <f>'[7]Sch C'!F153</f>
        <v>45</v>
      </c>
      <c r="E145" s="259">
        <f t="shared" si="34"/>
        <v>169</v>
      </c>
      <c r="F145" s="183"/>
      <c r="G145" s="183">
        <f t="shared" si="35"/>
        <v>169</v>
      </c>
      <c r="H145" s="181">
        <f t="shared" si="36"/>
        <v>1.6571210610281408E-4</v>
      </c>
      <c r="J145" s="136"/>
      <c r="K145" s="136"/>
      <c r="M145" s="237">
        <f t="shared" si="37"/>
        <v>3.0794460641399415E-2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'[7]Sch C'!D154</f>
        <v>0</v>
      </c>
      <c r="D146" s="273">
        <f>'[7]Sch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28490</v>
      </c>
      <c r="D147" s="273">
        <f>SUM(D142:D146)</f>
        <v>5596</v>
      </c>
      <c r="E147" s="183">
        <f>SUM(E142:E146)</f>
        <v>34086</v>
      </c>
      <c r="F147" s="183">
        <f>SUM(F142:F146)</f>
        <v>0</v>
      </c>
      <c r="G147" s="183">
        <f t="shared" si="35"/>
        <v>34086</v>
      </c>
      <c r="H147" s="204">
        <f t="shared" si="36"/>
        <v>3.3422857092429113E-2</v>
      </c>
      <c r="J147" s="136"/>
      <c r="K147" s="136"/>
      <c r="M147" s="237">
        <f t="shared" si="37"/>
        <v>6.2110058309037903</v>
      </c>
      <c r="N147" s="243">
        <f>SUMMARY!M147</f>
        <v>3.5319826687546212</v>
      </c>
      <c r="O147" s="238">
        <f>M147/N147-1</f>
        <v>0.75850405095384965</v>
      </c>
      <c r="P147" s="178">
        <f>IF(O147&gt;=0.2,0.3,0)</f>
        <v>0.3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'[7]Sch C'!D158</f>
        <v>0</v>
      </c>
      <c r="D150" s="273">
        <f>'[7]Sch C'!F158</f>
        <v>0</v>
      </c>
      <c r="E150" s="259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1">
        <v>0</v>
      </c>
      <c r="K150" s="261">
        <v>0</v>
      </c>
      <c r="M150" s="237">
        <f t="shared" ref="M150:M164" si="39">IFERROR(G150/G$198,0)</f>
        <v>0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'[7]Sch C'!D159</f>
        <v>0</v>
      </c>
      <c r="D151" s="273">
        <f>'[7]Sch C'!F159</f>
        <v>0</v>
      </c>
      <c r="E151" s="259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37">
        <f t="shared" si="39"/>
        <v>0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'[7]Sch C'!D160</f>
        <v>903</v>
      </c>
      <c r="D152" s="273">
        <f>'[7]Sch C'!F160</f>
        <v>64</v>
      </c>
      <c r="E152" s="259">
        <f t="shared" si="38"/>
        <v>967</v>
      </c>
      <c r="F152" s="183"/>
      <c r="G152" s="183">
        <f t="shared" ref="G152:G163" si="40">IF(ISERROR(E152+F152),"",(E152+F152))</f>
        <v>967</v>
      </c>
      <c r="H152" s="181">
        <f t="shared" ref="H152:H163" si="41">IF(ISERROR(G152/$G$183),"",(G152/$G$183))</f>
        <v>9.4818702131018459E-4</v>
      </c>
      <c r="J152" s="136"/>
      <c r="K152" s="136"/>
      <c r="M152" s="237">
        <f t="shared" si="39"/>
        <v>0.17620262390670555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'[7]Sch C'!D161</f>
        <v>0</v>
      </c>
      <c r="D153" s="273">
        <f>'[7]Sch C'!F161</f>
        <v>0</v>
      </c>
      <c r="E153" s="259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'[7]Sch C'!D162</f>
        <v>0</v>
      </c>
      <c r="D154" s="273">
        <f>'[7]Sch C'!F162</f>
        <v>0</v>
      </c>
      <c r="E154" s="259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'[7]Sch C'!D163</f>
        <v>0</v>
      </c>
      <c r="D155" s="273">
        <f>'[7]Sch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'[7]Sch C'!D164</f>
        <v>1017</v>
      </c>
      <c r="D156" s="273">
        <f>'[7]Sch C'!F164</f>
        <v>0</v>
      </c>
      <c r="E156" s="259">
        <f t="shared" si="38"/>
        <v>1017</v>
      </c>
      <c r="F156" s="183"/>
      <c r="G156" s="183">
        <f t="shared" si="40"/>
        <v>1017</v>
      </c>
      <c r="H156" s="181">
        <f t="shared" si="41"/>
        <v>9.9721427163646089E-4</v>
      </c>
      <c r="J156" s="206"/>
      <c r="K156" s="206"/>
      <c r="M156" s="237">
        <f t="shared" si="39"/>
        <v>0.18531341107871721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'[7]Sch C'!D165</f>
        <v>825</v>
      </c>
      <c r="D157" s="273">
        <f>'[7]Sch C'!F165</f>
        <v>0</v>
      </c>
      <c r="E157" s="259">
        <f t="shared" si="38"/>
        <v>825</v>
      </c>
      <c r="F157" s="183"/>
      <c r="G157" s="183">
        <f t="shared" si="40"/>
        <v>825</v>
      </c>
      <c r="H157" s="181">
        <f t="shared" si="41"/>
        <v>8.089496303835598E-4</v>
      </c>
      <c r="J157" s="206"/>
      <c r="K157" s="206"/>
      <c r="M157" s="237">
        <f t="shared" si="39"/>
        <v>0.15032798833819241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'[7]Sch C'!D166</f>
        <v>0</v>
      </c>
      <c r="D158" s="273">
        <f>'[7]Sch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'[7]Sch C'!D167</f>
        <v>98674</v>
      </c>
      <c r="D159" s="273">
        <f>'[7]Sch C'!F167</f>
        <v>0</v>
      </c>
      <c r="E159" s="259">
        <f t="shared" si="38"/>
        <v>98674</v>
      </c>
      <c r="F159" s="183"/>
      <c r="G159" s="183">
        <f t="shared" si="40"/>
        <v>98674</v>
      </c>
      <c r="H159" s="181">
        <f t="shared" si="41"/>
        <v>9.6754297973899853E-2</v>
      </c>
      <c r="J159" s="206"/>
      <c r="K159" s="206"/>
      <c r="M159" s="237">
        <f t="shared" si="39"/>
        <v>17.979956268221574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'[7]Sch C'!D168</f>
        <v>0</v>
      </c>
      <c r="D160" s="273">
        <f>'[7]Sch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'[7]Sch C'!D169</f>
        <v>0</v>
      </c>
      <c r="D161" s="273">
        <f>'[7]Sch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'[7]Sch C'!D170</f>
        <v>0</v>
      </c>
      <c r="D162" s="273">
        <f>'[7]Sch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'[7]Sch C'!D171</f>
        <v>0</v>
      </c>
      <c r="D163" s="273">
        <f>'[7]Sch C'!F171</f>
        <v>0</v>
      </c>
      <c r="E163" s="259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101419</v>
      </c>
      <c r="D164" s="273">
        <f>SUM(D150:D163)</f>
        <v>64</v>
      </c>
      <c r="E164" s="183">
        <f>SUM(E150:E163)</f>
        <v>101483</v>
      </c>
      <c r="F164" s="183">
        <f>SUM(F150:F163)</f>
        <v>0</v>
      </c>
      <c r="G164" s="183">
        <f>IF(ISERROR(E164+F164),"",(E164+F164))</f>
        <v>101483</v>
      </c>
      <c r="H164" s="181">
        <f>IF(ISERROR(G164/$G$183),"",(G164/$G$183))</f>
        <v>9.9508648897230059E-2</v>
      </c>
      <c r="J164" s="136"/>
      <c r="K164" s="136"/>
      <c r="M164" s="237">
        <f t="shared" si="39"/>
        <v>18.491800291545189</v>
      </c>
      <c r="N164" s="243">
        <f>SUMMARY!M164</f>
        <v>48.166333206280392</v>
      </c>
      <c r="O164" s="238">
        <f>M164/N164-1</f>
        <v>-0.6160845333118683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'[7]Sch C'!D186</f>
        <v>0</v>
      </c>
      <c r="D167" s="273">
        <f>'[7]Sch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'[7]Sch C'!D187</f>
        <v>0</v>
      </c>
      <c r="D168" s="273">
        <f>'[7]Sch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'[7]Sch C'!D188</f>
        <v>0</v>
      </c>
      <c r="D169" s="273">
        <f>'[7]Sch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'[7]Sch C'!D189</f>
        <v>2966</v>
      </c>
      <c r="D170" s="273">
        <f>'[7]Sch C'!F189</f>
        <v>0</v>
      </c>
      <c r="E170" s="259">
        <f t="shared" si="42"/>
        <v>2966</v>
      </c>
      <c r="F170" s="183"/>
      <c r="G170" s="183">
        <f>IF(ISERROR(E170+F170),"",(E170+F170))</f>
        <v>2966</v>
      </c>
      <c r="H170" s="181">
        <f>IF(ISERROR(G170/$G$183),"",(G170/$G$183))</f>
        <v>2.9082964893547133E-3</v>
      </c>
      <c r="I170" s="215"/>
      <c r="J170" s="211"/>
      <c r="K170" s="42"/>
      <c r="M170" s="237">
        <f t="shared" si="43"/>
        <v>0.54045189504373181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'[7]Sch C'!D190</f>
        <v>0</v>
      </c>
      <c r="D171" s="273">
        <f>'[7]Sch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'[7]Sch C'!D191</f>
        <v>0</v>
      </c>
      <c r="D172" s="273">
        <f>'[7]Sch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'[7]Sch C'!D192</f>
        <v>0</v>
      </c>
      <c r="D173" s="273">
        <f>'[7]Sch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'[7]Sch C'!D193</f>
        <v>0</v>
      </c>
      <c r="D174" s="273">
        <f>'[7]Sch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'[7]Sch C'!D194</f>
        <v>0</v>
      </c>
      <c r="D175" s="273">
        <f>'[7]Sch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'[7]Sch C'!D195</f>
        <v>0</v>
      </c>
      <c r="D176" s="273">
        <f>'[7]Sch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'[7]Sch C'!D196</f>
        <v>0</v>
      </c>
      <c r="D177" s="273">
        <f>'[7]Sch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'[7]Sch C'!D197</f>
        <v>0</v>
      </c>
      <c r="D178" s="273">
        <f>'[7]Sch C'!F197</f>
        <v>0</v>
      </c>
      <c r="E178" s="259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'[7]Sch C'!D198</f>
        <v>0</v>
      </c>
      <c r="D179" s="273">
        <f>'[7]Sch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'[7]Sch C'!D199</f>
        <v>210</v>
      </c>
      <c r="D180" s="273">
        <f>'[7]Sch C'!F199</f>
        <v>0</v>
      </c>
      <c r="E180" s="259">
        <f t="shared" si="42"/>
        <v>210</v>
      </c>
      <c r="F180" s="183"/>
      <c r="G180" s="183">
        <f t="shared" si="44"/>
        <v>210</v>
      </c>
      <c r="H180" s="181">
        <f t="shared" si="45"/>
        <v>2.0591445137036068E-4</v>
      </c>
      <c r="I180" s="215"/>
      <c r="J180" s="211"/>
      <c r="K180" s="42"/>
      <c r="M180" s="237">
        <f t="shared" si="43"/>
        <v>3.826530612244898E-2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3176</v>
      </c>
      <c r="D181" s="273">
        <f>SUM(D167:D180)</f>
        <v>0</v>
      </c>
      <c r="E181" s="218">
        <f>SUM(E167:E180)</f>
        <v>3176</v>
      </c>
      <c r="F181" s="218">
        <f>SUM(F167:F180)</f>
        <v>0</v>
      </c>
      <c r="G181" s="183">
        <f t="shared" si="44"/>
        <v>3176</v>
      </c>
      <c r="H181" s="181">
        <f>IF(ISERROR(G181/$G$183),"",(G181/$G$183))</f>
        <v>3.1142109407250739E-3</v>
      </c>
      <c r="I181" s="219"/>
      <c r="J181" s="211"/>
      <c r="K181" s="211"/>
      <c r="M181" s="237">
        <f t="shared" si="43"/>
        <v>0.57871720116618075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953204</v>
      </c>
      <c r="D183" s="273">
        <f>SUM(D21:D181)/2</f>
        <v>66637</v>
      </c>
      <c r="E183" s="258">
        <f>SUM(E21:E181)/2</f>
        <v>1019841</v>
      </c>
      <c r="F183" s="179">
        <f>SUM(F21:F181)/2</f>
        <v>0</v>
      </c>
      <c r="G183" s="179">
        <f>SUM(G21:G181)/2</f>
        <v>1019841</v>
      </c>
      <c r="H183" s="181">
        <f>IF(ISERROR(G183/$G$183),"",(G183/$G$183))</f>
        <v>1</v>
      </c>
      <c r="J183" s="261">
        <f>SUM(J21:J181)</f>
        <v>33120</v>
      </c>
      <c r="K183" s="261">
        <f>SUM(K21:K181)</f>
        <v>34154</v>
      </c>
      <c r="M183" s="237">
        <f>IFERROR(G183/G$198,0)</f>
        <v>185.83108600583091</v>
      </c>
      <c r="N183" s="243">
        <f>SUMMARY!M183</f>
        <v>169.52310231129192</v>
      </c>
      <c r="P183" s="178">
        <f>SUM(P57:P181)</f>
        <v>2.5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'[7]Sch C'!D204</f>
        <v>953204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-60482</v>
      </c>
      <c r="D190" s="273">
        <f>D17-D183</f>
        <v>-66637</v>
      </c>
      <c r="E190" s="259">
        <f>E17-E183</f>
        <v>-127119</v>
      </c>
      <c r="F190" s="180">
        <f>F17-F183</f>
        <v>0</v>
      </c>
      <c r="G190" s="180">
        <f>G17-G183</f>
        <v>-127119</v>
      </c>
      <c r="J190" s="136"/>
      <c r="K190" s="136"/>
      <c r="M190" s="237">
        <f>IFERROR(G190/G$198,0)</f>
        <v>-23.163083090379008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'[7]Sch D'!C9</f>
        <v>5488</v>
      </c>
      <c r="D194" s="313"/>
      <c r="E194" s="264">
        <f>C194+D194</f>
        <v>5488</v>
      </c>
      <c r="F194" s="224"/>
      <c r="G194" s="225">
        <f>E194+F194</f>
        <v>5488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'[7]Sch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'[7]Sch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'[7]Sch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5488</v>
      </c>
      <c r="D198" s="313"/>
      <c r="E198" s="265">
        <f>SUM(E194:E197)</f>
        <v>5488</v>
      </c>
      <c r="F198" s="229">
        <f>SUM(F194:F197)</f>
        <v>0</v>
      </c>
      <c r="G198" s="229">
        <f>SUM(G194:G197)</f>
        <v>5488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'[7]Sch D'!G22</f>
        <v>15</v>
      </c>
      <c r="D201" s="312"/>
      <c r="E201" s="264">
        <f>C201</f>
        <v>15</v>
      </c>
      <c r="F201" s="277"/>
      <c r="G201" s="231">
        <f>E201+F201</f>
        <v>15</v>
      </c>
      <c r="H201" s="280" t="s">
        <v>412</v>
      </c>
      <c r="I201" s="43"/>
      <c r="J201" s="136"/>
      <c r="K201" s="136"/>
    </row>
    <row r="202" spans="1:11">
      <c r="A202" s="42"/>
      <c r="B202" s="118" t="s">
        <v>310</v>
      </c>
      <c r="C202" s="274">
        <f>'[7]Sch D'!G24</f>
        <v>15</v>
      </c>
      <c r="D202" s="312"/>
      <c r="E202" s="264">
        <f>C202</f>
        <v>15</v>
      </c>
      <c r="F202" s="278"/>
      <c r="G202" s="231">
        <f>E202+F202</f>
        <v>15</v>
      </c>
      <c r="H202" s="280" t="s">
        <v>412</v>
      </c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'[7]Sch D'!G28</f>
        <v>5490</v>
      </c>
      <c r="D205" s="283"/>
      <c r="E205" s="260">
        <f>E201*E203</f>
        <v>5490</v>
      </c>
      <c r="F205" s="260">
        <f>G201*F203</f>
        <v>0</v>
      </c>
      <c r="G205" s="224">
        <f>G201*G203</f>
        <v>5490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'[7]Sch D'!G30</f>
        <v>0.99963570127504553</v>
      </c>
      <c r="D206" s="36"/>
      <c r="E206" s="266">
        <f>IFERROR(E198/E205,"0")</f>
        <v>0.99963570127504553</v>
      </c>
      <c r="F206" s="337" t="str">
        <f>IFERROR(F198/F205,"")</f>
        <v/>
      </c>
      <c r="G206" s="233">
        <f>G198/G205</f>
        <v>0.99963570127504553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'[7]Sch D'!G32</f>
        <v>0.99963570127504553</v>
      </c>
      <c r="D207" s="36"/>
      <c r="E207" s="266">
        <f>IFERROR((E194+E195)/E205,"0")</f>
        <v>0.99963570127504553</v>
      </c>
      <c r="F207" s="337" t="str">
        <f>IFERROR(((F194+F195)/F205),"")</f>
        <v/>
      </c>
      <c r="G207" s="233">
        <f>(G194+G195)/G205</f>
        <v>0.99963570127504553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'[7]Sch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B212" s="285"/>
      <c r="F212" s="51" t="s">
        <v>307</v>
      </c>
      <c r="G212" s="234"/>
    </row>
    <row r="213" spans="1:11">
      <c r="B213" s="285"/>
      <c r="F213" s="51" t="s">
        <v>308</v>
      </c>
      <c r="G213" s="234"/>
    </row>
  </sheetData>
  <phoneticPr fontId="0" type="noConversion"/>
  <conditionalFormatting sqref="D2">
    <cfRule type="cellIs" dxfId="27" priority="4" stopIfTrue="1" operator="equal">
      <formula>0</formula>
    </cfRule>
  </conditionalFormatting>
  <conditionalFormatting sqref="D2">
    <cfRule type="cellIs" dxfId="26" priority="3" stopIfTrue="1" operator="equal">
      <formula>0</formula>
    </cfRule>
  </conditionalFormatting>
  <conditionalFormatting sqref="C2">
    <cfRule type="cellIs" dxfId="25" priority="2" stopIfTrue="1" operator="equal">
      <formula>0</formula>
    </cfRule>
  </conditionalFormatting>
  <conditionalFormatting sqref="C2">
    <cfRule type="cellIs" dxfId="24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P215"/>
  <sheetViews>
    <sheetView showGridLines="0" topLeftCell="A186" zoomScale="90" zoomScaleNormal="90" workbookViewId="0">
      <selection activeCell="H213" sqref="H213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4" width="11.69921875" style="52"/>
    <col min="15" max="15" width="19.09765625" style="52" customWidth="1"/>
    <col min="16" max="16" width="23" style="52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363</v>
      </c>
      <c r="D2" s="236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F4" s="52" t="s">
        <v>374</v>
      </c>
      <c r="G4" s="167"/>
    </row>
    <row r="5" spans="1:16">
      <c r="A5" s="24"/>
      <c r="B5" s="164"/>
      <c r="C5" s="168"/>
      <c r="D5" s="25"/>
      <c r="E5" s="163"/>
      <c r="F5" s="52" t="s">
        <v>375</v>
      </c>
      <c r="G5" s="167"/>
    </row>
    <row r="6" spans="1:16">
      <c r="A6" s="24"/>
      <c r="B6" s="164"/>
      <c r="C6" s="168"/>
      <c r="D6" s="25"/>
      <c r="F6" s="285" t="s">
        <v>378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'[8]Sch B'!E10</f>
        <v>968670</v>
      </c>
      <c r="D12" s="273">
        <f>'[8]Sch B'!G10</f>
        <v>0</v>
      </c>
      <c r="E12" s="259">
        <f>SUM(C12:D12)</f>
        <v>968670</v>
      </c>
      <c r="F12" s="180"/>
      <c r="G12" s="180">
        <f>IF(ISERROR(E12+F12)," ",(E12+F12))</f>
        <v>968670</v>
      </c>
      <c r="H12" s="181">
        <f t="shared" ref="H12:H17" si="0">IF(ISERROR(G12/$G$17),"",(G12/$G$17))</f>
        <v>0.99922634152379775</v>
      </c>
      <c r="J12" s="246" t="s">
        <v>346</v>
      </c>
      <c r="K12" s="247">
        <f>G17</f>
        <v>969420</v>
      </c>
      <c r="M12" s="237">
        <f>IFERROR(G12/G$194,0)</f>
        <v>165.47147249743765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'[8]Sch B'!E15</f>
        <v>0</v>
      </c>
      <c r="D13" s="273">
        <f>'[8]Sch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882600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'[8]Sch B'!E20</f>
        <v>0</v>
      </c>
      <c r="D14" s="273">
        <f>'[8]Sch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5854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'[8]Sch B'!E25</f>
        <v>0</v>
      </c>
      <c r="D15" s="273">
        <f>'[8]Sch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'[8]Sch B'!E40</f>
        <v>750</v>
      </c>
      <c r="D16" s="273">
        <f>'[8]Sch B'!G40</f>
        <v>0</v>
      </c>
      <c r="E16" s="259">
        <f t="shared" si="1"/>
        <v>750</v>
      </c>
      <c r="F16" s="183"/>
      <c r="G16" s="183">
        <f>IF(ISERROR(E16+F16),"",(E16+F16))</f>
        <v>750</v>
      </c>
      <c r="H16" s="184">
        <f t="shared" si="0"/>
        <v>7.7365847620226532E-4</v>
      </c>
      <c r="J16" s="248" t="s">
        <v>350</v>
      </c>
      <c r="K16" s="249">
        <f>G205</f>
        <v>5856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969420</v>
      </c>
      <c r="D17" s="273">
        <f>SUM(D12:D16)</f>
        <v>0</v>
      </c>
      <c r="E17" s="183">
        <f>SUM(E12:E16)</f>
        <v>969420</v>
      </c>
      <c r="F17" s="183">
        <f>SUM(F12:F16)</f>
        <v>0</v>
      </c>
      <c r="G17" s="183">
        <f>IF(ISERROR(E17+F17),"",(E17+F17))</f>
        <v>969420</v>
      </c>
      <c r="H17" s="184">
        <f t="shared" si="0"/>
        <v>1</v>
      </c>
      <c r="J17" s="248"/>
      <c r="K17" s="249"/>
      <c r="M17" s="237">
        <f>IFERROR(G17/G$198,0)</f>
        <v>165.59959002391528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30561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31759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'[8]Sch C'!D10</f>
        <v>70132</v>
      </c>
      <c r="D21" s="273">
        <f>'[8]Sch C'!F10</f>
        <v>2887</v>
      </c>
      <c r="E21" s="259">
        <f t="shared" ref="E21:E56" si="2">SUM(C21:D21)</f>
        <v>73019</v>
      </c>
      <c r="F21" s="180"/>
      <c r="G21" s="180">
        <f t="shared" ref="G21:G57" si="3">IF(ISERROR(E21+F21),"",(E21+F21))</f>
        <v>73019</v>
      </c>
      <c r="H21" s="181">
        <f>IF(ISERROR(G21/$G$183),"",(G21/$G$183))</f>
        <v>8.2731701790165424E-2</v>
      </c>
      <c r="J21" s="261">
        <v>2080</v>
      </c>
      <c r="K21" s="261">
        <v>2080</v>
      </c>
      <c r="M21" s="237">
        <f>IFERROR(G21/G$198,0)</f>
        <v>12.473351554492655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'[8]Sch C'!D11</f>
        <v>0</v>
      </c>
      <c r="D22" s="273">
        <f>'[8]Sch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'[8]Sch C'!D12</f>
        <v>33000</v>
      </c>
      <c r="D23" s="273">
        <f>'[8]Sch C'!F12</f>
        <v>7430</v>
      </c>
      <c r="E23" s="259">
        <f t="shared" si="2"/>
        <v>40430</v>
      </c>
      <c r="F23" s="183"/>
      <c r="G23" s="183">
        <f t="shared" si="3"/>
        <v>40430</v>
      </c>
      <c r="H23" s="181">
        <f t="shared" si="4"/>
        <v>4.5807840471334696E-2</v>
      </c>
      <c r="J23" s="189">
        <v>2080</v>
      </c>
      <c r="K23" s="189">
        <v>2080</v>
      </c>
      <c r="M23" s="237">
        <f t="shared" si="5"/>
        <v>6.9063887939870172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'[8]Sch C'!D13</f>
        <v>48337</v>
      </c>
      <c r="D24" s="273">
        <f>'[8]Sch C'!F13</f>
        <v>-16309</v>
      </c>
      <c r="E24" s="259">
        <f t="shared" si="2"/>
        <v>32028</v>
      </c>
      <c r="F24" s="183"/>
      <c r="G24" s="183">
        <f t="shared" si="3"/>
        <v>32028</v>
      </c>
      <c r="H24" s="181">
        <f t="shared" si="4"/>
        <v>3.6288239292997959E-2</v>
      </c>
      <c r="J24" s="136"/>
      <c r="K24" s="136"/>
      <c r="M24" s="237">
        <f t="shared" si="5"/>
        <v>5.4711308507003755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'[8]Sch C'!D14</f>
        <v>0</v>
      </c>
      <c r="D25" s="273">
        <f>'[8]Sch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'[8]Sch C'!D15</f>
        <v>0</v>
      </c>
      <c r="D26" s="273">
        <f>'[8]Sch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'[8]Sch C'!D16</f>
        <v>0</v>
      </c>
      <c r="D27" s="273">
        <f>'[8]Sch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'[8]Sch C'!D17</f>
        <v>394</v>
      </c>
      <c r="D28" s="273">
        <f>'[8]Sch C'!F17</f>
        <v>171</v>
      </c>
      <c r="E28" s="259">
        <f t="shared" si="2"/>
        <v>565</v>
      </c>
      <c r="F28" s="183"/>
      <c r="G28" s="183">
        <f t="shared" si="3"/>
        <v>565</v>
      </c>
      <c r="H28" s="181">
        <f t="shared" si="4"/>
        <v>6.4015409018808062E-4</v>
      </c>
      <c r="J28" s="136"/>
      <c r="K28" s="136"/>
      <c r="M28" s="237">
        <f t="shared" si="5"/>
        <v>9.6515203279808684E-2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'[8]Sch C'!D18</f>
        <v>3702</v>
      </c>
      <c r="D29" s="273">
        <f>'[8]Sch C'!F18</f>
        <v>961</v>
      </c>
      <c r="E29" s="259">
        <f t="shared" si="2"/>
        <v>4663</v>
      </c>
      <c r="F29" s="183"/>
      <c r="G29" s="183">
        <f t="shared" si="3"/>
        <v>4663</v>
      </c>
      <c r="H29" s="181">
        <f t="shared" si="4"/>
        <v>5.2832540222071157E-3</v>
      </c>
      <c r="J29" s="136"/>
      <c r="K29" s="136"/>
      <c r="M29" s="237">
        <f t="shared" si="5"/>
        <v>0.79654936795353604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'[8]Sch C'!D19</f>
        <v>2674</v>
      </c>
      <c r="D30" s="273">
        <f>'[8]Sch C'!F19</f>
        <v>192</v>
      </c>
      <c r="E30" s="259">
        <f t="shared" si="2"/>
        <v>2866</v>
      </c>
      <c r="F30" s="183"/>
      <c r="G30" s="183">
        <f t="shared" si="3"/>
        <v>2866</v>
      </c>
      <c r="H30" s="181">
        <f t="shared" si="4"/>
        <v>3.2472241105823705E-3</v>
      </c>
      <c r="J30" s="136"/>
      <c r="K30" s="136"/>
      <c r="M30" s="237">
        <f t="shared" si="5"/>
        <v>0.48957977451315338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'[8]Sch C'!D20</f>
        <v>520</v>
      </c>
      <c r="D31" s="273">
        <f>'[8]Sch C'!F20</f>
        <v>1015</v>
      </c>
      <c r="E31" s="259">
        <f t="shared" si="2"/>
        <v>1535</v>
      </c>
      <c r="F31" s="183"/>
      <c r="G31" s="183">
        <f t="shared" si="3"/>
        <v>1535</v>
      </c>
      <c r="H31" s="181">
        <f t="shared" si="4"/>
        <v>1.7391796963516881E-3</v>
      </c>
      <c r="J31" s="136"/>
      <c r="K31" s="136"/>
      <c r="M31" s="237">
        <f t="shared" si="5"/>
        <v>0.26221387085753334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'[8]Sch C'!D21</f>
        <v>72</v>
      </c>
      <c r="D32" s="273">
        <f>'[8]Sch C'!F21</f>
        <v>2272</v>
      </c>
      <c r="E32" s="259">
        <f t="shared" si="2"/>
        <v>2344</v>
      </c>
      <c r="F32" s="183"/>
      <c r="G32" s="183">
        <f t="shared" si="3"/>
        <v>2344</v>
      </c>
      <c r="H32" s="181">
        <f t="shared" si="4"/>
        <v>2.6557897122139133E-3</v>
      </c>
      <c r="I32" s="279" t="s">
        <v>371</v>
      </c>
      <c r="J32" s="136"/>
      <c r="K32" s="136"/>
      <c r="M32" s="237">
        <f t="shared" si="5"/>
        <v>0.40040997608472839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'[8]Sch C'!D22</f>
        <v>0</v>
      </c>
      <c r="D33" s="273">
        <f>'[8]Sch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'[8]Sch C'!D23</f>
        <v>125</v>
      </c>
      <c r="D34" s="273">
        <f>'[8]Sch C'!F23</f>
        <v>1379</v>
      </c>
      <c r="E34" s="259">
        <f t="shared" si="2"/>
        <v>1504</v>
      </c>
      <c r="F34" s="183"/>
      <c r="G34" s="183">
        <f t="shared" si="3"/>
        <v>1504</v>
      </c>
      <c r="H34" s="181">
        <f t="shared" si="4"/>
        <v>1.7040561975980059E-3</v>
      </c>
      <c r="J34" s="136"/>
      <c r="K34" s="136"/>
      <c r="M34" s="237">
        <f t="shared" si="5"/>
        <v>0.25691834642979161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'[8]Sch C'!D24</f>
        <v>1967</v>
      </c>
      <c r="D35" s="273">
        <f>'[8]Sch C'!F24</f>
        <v>2898</v>
      </c>
      <c r="E35" s="259">
        <f t="shared" si="2"/>
        <v>4865</v>
      </c>
      <c r="F35" s="183"/>
      <c r="G35" s="183">
        <f t="shared" si="3"/>
        <v>4865</v>
      </c>
      <c r="H35" s="181">
        <f t="shared" si="4"/>
        <v>5.5121232721504643E-3</v>
      </c>
      <c r="J35" s="136"/>
      <c r="K35" s="136"/>
      <c r="M35" s="237">
        <f t="shared" si="5"/>
        <v>0.83105568841817556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'[8]Sch C'!D25</f>
        <v>0</v>
      </c>
      <c r="D36" s="273">
        <f>'[8]Sch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'[8]Sch C'!D26</f>
        <v>49381</v>
      </c>
      <c r="D37" s="273">
        <f>'[8]Sch C'!F26</f>
        <v>0</v>
      </c>
      <c r="E37" s="259">
        <f t="shared" si="2"/>
        <v>49381</v>
      </c>
      <c r="F37" s="183"/>
      <c r="G37" s="183">
        <f t="shared" si="3"/>
        <v>49381</v>
      </c>
      <c r="H37" s="181">
        <f t="shared" si="4"/>
        <v>5.5949467482438252E-2</v>
      </c>
      <c r="J37" s="136"/>
      <c r="K37" s="136"/>
      <c r="M37" s="237">
        <f t="shared" si="5"/>
        <v>8.4354287666552779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'[8]Sch C'!D27</f>
        <v>0</v>
      </c>
      <c r="D38" s="273">
        <f>'[8]Sch C'!F27</f>
        <v>188</v>
      </c>
      <c r="E38" s="259">
        <f t="shared" si="2"/>
        <v>188</v>
      </c>
      <c r="F38" s="183"/>
      <c r="G38" s="183">
        <f t="shared" si="3"/>
        <v>188</v>
      </c>
      <c r="H38" s="181">
        <f t="shared" si="4"/>
        <v>2.1300702469975074E-4</v>
      </c>
      <c r="J38" s="136"/>
      <c r="K38" s="136"/>
      <c r="M38" s="237">
        <f t="shared" si="5"/>
        <v>3.2114793303723951E-2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'[8]Sch C'!D28</f>
        <v>-2028</v>
      </c>
      <c r="D39" s="273">
        <f>'[8]Sch C'!F28</f>
        <v>2028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'[8]Sch C'!D29</f>
        <v>0</v>
      </c>
      <c r="D40" s="273">
        <f>'[8]Sch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'[8]Sch C'!D30</f>
        <v>0</v>
      </c>
      <c r="D41" s="273">
        <f>'[8]Sch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'[8]Sch C'!D31</f>
        <v>-22</v>
      </c>
      <c r="D42" s="273">
        <f>'[8]Sch C'!F31</f>
        <v>4821</v>
      </c>
      <c r="E42" s="259">
        <f t="shared" si="2"/>
        <v>4799</v>
      </c>
      <c r="F42" s="183"/>
      <c r="G42" s="183">
        <f t="shared" si="3"/>
        <v>4799</v>
      </c>
      <c r="H42" s="181">
        <f t="shared" si="4"/>
        <v>5.4373442102877857E-3</v>
      </c>
      <c r="J42" s="136"/>
      <c r="K42" s="136"/>
      <c r="M42" s="237">
        <f t="shared" si="5"/>
        <v>0.8197813460881449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'[8]Sch C'!D32</f>
        <v>-25</v>
      </c>
      <c r="D43" s="273">
        <f>'[8]Sch C'!F32</f>
        <v>10645</v>
      </c>
      <c r="E43" s="259">
        <f t="shared" si="2"/>
        <v>10620</v>
      </c>
      <c r="F43" s="183"/>
      <c r="G43" s="183">
        <f t="shared" si="3"/>
        <v>10620</v>
      </c>
      <c r="H43" s="181">
        <f t="shared" si="4"/>
        <v>1.2032630863358259E-2</v>
      </c>
      <c r="J43" s="136"/>
      <c r="K43" s="136"/>
      <c r="M43" s="237">
        <f t="shared" si="5"/>
        <v>1.8141441749231295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'[8]Sch C'!D33</f>
        <v>0</v>
      </c>
      <c r="D44" s="273">
        <f>'[8]Sch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'[8]Sch C'!D34</f>
        <v>0</v>
      </c>
      <c r="D45" s="273">
        <f>'[8]Sch C'!F34</f>
        <v>2211</v>
      </c>
      <c r="E45" s="259">
        <f t="shared" si="2"/>
        <v>2211</v>
      </c>
      <c r="F45" s="183"/>
      <c r="G45" s="183">
        <f t="shared" si="3"/>
        <v>2211</v>
      </c>
      <c r="H45" s="181">
        <f t="shared" si="4"/>
        <v>2.5050985723997282E-3</v>
      </c>
      <c r="J45" s="136"/>
      <c r="K45" s="136"/>
      <c r="M45" s="237">
        <f t="shared" si="5"/>
        <v>0.37769046805603007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'[8]Sch C'!D35</f>
        <v>0</v>
      </c>
      <c r="D46" s="273">
        <f>'[8]Sch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'[8]Sch C'!D36</f>
        <v>0</v>
      </c>
      <c r="D47" s="273">
        <f>'[8]Sch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'[8]Sch C'!D37</f>
        <v>0</v>
      </c>
      <c r="D48" s="273">
        <f>'[8]Sch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'[8]Sch C'!D38</f>
        <v>0</v>
      </c>
      <c r="D49" s="273">
        <f>'[8]Sch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'[8]Sch C'!D39</f>
        <v>0</v>
      </c>
      <c r="D50" s="273">
        <f>'[8]Sch C'!F39</f>
        <v>0</v>
      </c>
      <c r="E50" s="259">
        <f t="shared" si="2"/>
        <v>0</v>
      </c>
      <c r="F50" s="183"/>
      <c r="G50" s="183">
        <f t="shared" si="3"/>
        <v>0</v>
      </c>
      <c r="H50" s="181">
        <f t="shared" si="4"/>
        <v>0</v>
      </c>
      <c r="J50" s="136"/>
      <c r="K50" s="136"/>
      <c r="M50" s="237">
        <f t="shared" si="5"/>
        <v>0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'[8]Sch C'!D40</f>
        <v>0</v>
      </c>
      <c r="D51" s="273">
        <f>'[8]Sch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'[8]Sch C'!D41</f>
        <v>0</v>
      </c>
      <c r="D52" s="273">
        <f>'[8]Sch C'!F41</f>
        <v>0</v>
      </c>
      <c r="E52" s="259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'[8]Sch C'!D42</f>
        <v>274</v>
      </c>
      <c r="D53" s="273">
        <f>'[8]Sch C'!F42</f>
        <v>0</v>
      </c>
      <c r="E53" s="259">
        <f t="shared" si="2"/>
        <v>274</v>
      </c>
      <c r="F53" s="183"/>
      <c r="G53" s="183">
        <f t="shared" si="3"/>
        <v>274</v>
      </c>
      <c r="H53" s="181">
        <f t="shared" si="4"/>
        <v>3.1044640833899844E-4</v>
      </c>
      <c r="J53" s="136"/>
      <c r="K53" s="136"/>
      <c r="M53" s="237">
        <f t="shared" si="5"/>
        <v>4.6805603006491288E-2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'[8]Sch C'!D43</f>
        <v>0</v>
      </c>
      <c r="D54" s="273">
        <f>'[8]Sch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'[8]Sch C'!D44</f>
        <v>0</v>
      </c>
      <c r="D55" s="273">
        <f>'[8]Sch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'[8]Sch C'!D45</f>
        <v>3150</v>
      </c>
      <c r="D56" s="273">
        <f>'[8]Sch C'!F45</f>
        <v>-750</v>
      </c>
      <c r="E56" s="259">
        <f t="shared" si="2"/>
        <v>2400</v>
      </c>
      <c r="F56" s="183"/>
      <c r="G56" s="183">
        <f t="shared" si="3"/>
        <v>2400</v>
      </c>
      <c r="H56" s="181">
        <f t="shared" si="4"/>
        <v>2.7192386131883071E-3</v>
      </c>
      <c r="J56" s="136"/>
      <c r="K56" s="136"/>
      <c r="M56" s="237">
        <f t="shared" si="5"/>
        <v>0.40997608472839087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211653</v>
      </c>
      <c r="D57" s="273">
        <f>SUM(D21:D56)</f>
        <v>22039</v>
      </c>
      <c r="E57" s="183">
        <f>SUM(E21:E56)</f>
        <v>233692</v>
      </c>
      <c r="F57" s="183">
        <f>SUM(F21:F56)</f>
        <v>0</v>
      </c>
      <c r="G57" s="183">
        <f t="shared" si="3"/>
        <v>233692</v>
      </c>
      <c r="H57" s="181">
        <f t="shared" si="4"/>
        <v>0.26477679583050079</v>
      </c>
      <c r="J57" s="136"/>
      <c r="K57" s="136"/>
      <c r="M57" s="237">
        <f t="shared" si="5"/>
        <v>39.920054663477963</v>
      </c>
      <c r="N57" s="243">
        <f>SUMMARY!M57</f>
        <v>39.672950949912064</v>
      </c>
      <c r="O57" s="238">
        <f>M57/N57-1</f>
        <v>6.228518616572698E-3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'[8]Sch C'!D57</f>
        <v>109942</v>
      </c>
      <c r="D60" s="273">
        <f>'[8]Sch C'!F57</f>
        <v>-109942</v>
      </c>
      <c r="E60" s="259">
        <f t="shared" ref="E60:E76" si="6">SUM(C60:D60)</f>
        <v>0</v>
      </c>
      <c r="F60" s="286"/>
      <c r="G60" s="179">
        <f>IF(ISERROR(E60+F60),"",(E60+F60))</f>
        <v>0</v>
      </c>
      <c r="H60" s="181">
        <f>IF(ISERROR(G60/$G$183),"",(G60/$G$183))</f>
        <v>0</v>
      </c>
      <c r="I60" s="279" t="s">
        <v>371</v>
      </c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'[8]Sch C'!D58</f>
        <v>-119</v>
      </c>
      <c r="D61" s="273">
        <f>'[8]Sch C'!F58</f>
        <v>11923</v>
      </c>
      <c r="E61" s="259">
        <f t="shared" si="6"/>
        <v>11804</v>
      </c>
      <c r="F61" s="179"/>
      <c r="G61" s="179">
        <f t="shared" ref="G61:G76" si="7">IF(ISERROR(E61+F61),"",(E61+F61))</f>
        <v>11804</v>
      </c>
      <c r="H61" s="181">
        <f t="shared" ref="H61:H76" si="8">IF(ISERROR(G61/$G$183),"",(G61/$G$183))</f>
        <v>1.3374121912531158E-2</v>
      </c>
      <c r="I61" s="279" t="s">
        <v>371</v>
      </c>
      <c r="J61" s="136"/>
      <c r="K61" s="136"/>
      <c r="M61" s="237">
        <f t="shared" ref="M61:M77" si="9">IFERROR(G61/G$198,0)</f>
        <v>2.0163990433891357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'[8]Sch C'!D59</f>
        <v>0</v>
      </c>
      <c r="D62" s="273">
        <f>'[8]Sch C'!F59</f>
        <v>44211</v>
      </c>
      <c r="E62" s="259">
        <f t="shared" si="6"/>
        <v>44211</v>
      </c>
      <c r="F62" s="179"/>
      <c r="G62" s="179">
        <f t="shared" si="7"/>
        <v>44211</v>
      </c>
      <c r="H62" s="181">
        <f t="shared" si="8"/>
        <v>5.0091774303195107E-2</v>
      </c>
      <c r="I62" s="279" t="s">
        <v>371</v>
      </c>
      <c r="J62" s="136"/>
      <c r="K62" s="136"/>
      <c r="M62" s="237">
        <f t="shared" si="9"/>
        <v>7.5522719508028695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'[8]Sch C'!D60</f>
        <v>6178</v>
      </c>
      <c r="D63" s="273">
        <f>'[8]Sch C'!F60</f>
        <v>423</v>
      </c>
      <c r="E63" s="259">
        <f t="shared" si="6"/>
        <v>6601</v>
      </c>
      <c r="F63" s="179"/>
      <c r="G63" s="179">
        <f t="shared" si="7"/>
        <v>6601</v>
      </c>
      <c r="H63" s="181">
        <f t="shared" si="8"/>
        <v>7.4790392023566738E-3</v>
      </c>
      <c r="J63" s="136"/>
      <c r="K63" s="136"/>
      <c r="M63" s="237">
        <f t="shared" si="9"/>
        <v>1.1276050563717117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'[8]Sch C'!D61</f>
        <v>0</v>
      </c>
      <c r="D64" s="273">
        <f>'[8]Sch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'[8]Sch C'!D62</f>
        <v>0</v>
      </c>
      <c r="D65" s="273">
        <f>'[8]Sch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'[8]Sch C'!D63</f>
        <v>0</v>
      </c>
      <c r="D66" s="273">
        <f>'[8]Sch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'[8]Sch C'!D64</f>
        <v>784</v>
      </c>
      <c r="D67" s="273">
        <f>'[8]Sch C'!F64</f>
        <v>0</v>
      </c>
      <c r="E67" s="259">
        <f t="shared" si="6"/>
        <v>784</v>
      </c>
      <c r="F67" s="179"/>
      <c r="G67" s="179">
        <f t="shared" si="7"/>
        <v>784</v>
      </c>
      <c r="H67" s="181">
        <f t="shared" si="8"/>
        <v>8.8828461364151372E-4</v>
      </c>
      <c r="J67" s="136"/>
      <c r="K67" s="136"/>
      <c r="M67" s="237">
        <f t="shared" si="9"/>
        <v>0.13392552101127433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'[8]Sch C'!D65</f>
        <v>0</v>
      </c>
      <c r="D68" s="273">
        <f>'[8]Sch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'[8]Sch C'!D66</f>
        <v>0</v>
      </c>
      <c r="D69" s="273">
        <f>'[8]Sch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'[8]Sch C'!D67</f>
        <v>0</v>
      </c>
      <c r="D70" s="273">
        <f>'[8]Sch C'!F67</f>
        <v>0</v>
      </c>
      <c r="E70" s="259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37">
        <f t="shared" si="9"/>
        <v>0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'[8]Sch C'!D68</f>
        <v>0</v>
      </c>
      <c r="D71" s="273">
        <f>'[8]Sch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'[8]Sch C'!D69</f>
        <v>338</v>
      </c>
      <c r="D72" s="273">
        <f>'[8]Sch C'!F69</f>
        <v>873</v>
      </c>
      <c r="E72" s="259">
        <f t="shared" si="6"/>
        <v>1211</v>
      </c>
      <c r="F72" s="179"/>
      <c r="G72" s="179">
        <f t="shared" si="7"/>
        <v>1211</v>
      </c>
      <c r="H72" s="181">
        <f t="shared" si="8"/>
        <v>1.3720824835712667E-3</v>
      </c>
      <c r="J72" s="136"/>
      <c r="K72" s="136"/>
      <c r="M72" s="237">
        <f t="shared" si="9"/>
        <v>0.20686709941920053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'[8]Sch C'!D70</f>
        <v>0</v>
      </c>
      <c r="D73" s="273">
        <f>'[8]Sch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'[8]Sch C'!D71</f>
        <v>0</v>
      </c>
      <c r="D74" s="273">
        <f>'[8]Sch C'!F71</f>
        <v>0</v>
      </c>
      <c r="E74" s="259">
        <f t="shared" si="6"/>
        <v>0</v>
      </c>
      <c r="F74" s="179"/>
      <c r="G74" s="179">
        <f t="shared" si="7"/>
        <v>0</v>
      </c>
      <c r="H74" s="181">
        <f t="shared" si="8"/>
        <v>0</v>
      </c>
      <c r="J74" s="136"/>
      <c r="K74" s="136"/>
      <c r="M74" s="237">
        <f t="shared" si="9"/>
        <v>0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'[8]Sch C'!D72</f>
        <v>0</v>
      </c>
      <c r="D75" s="273">
        <f>'[8]Sch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'[8]Sch C'!D73</f>
        <v>0</v>
      </c>
      <c r="D76" s="273">
        <f>'[8]Sch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117123</v>
      </c>
      <c r="D77" s="273">
        <f>SUM(D60:D76)</f>
        <v>-52512</v>
      </c>
      <c r="E77" s="182">
        <f>SUM(E60:E76)</f>
        <v>64611</v>
      </c>
      <c r="F77" s="182">
        <f>SUM(F60:F76)</f>
        <v>0</v>
      </c>
      <c r="G77" s="183">
        <f>IF(ISERROR(E77+F77),"",(E77+F77))</f>
        <v>64611</v>
      </c>
      <c r="H77" s="181">
        <f>IF(ISERROR(G77/$G$183),"",(G77/$G$183))</f>
        <v>7.3205302515295723E-2</v>
      </c>
      <c r="J77" s="136"/>
      <c r="K77" s="136"/>
      <c r="M77" s="237">
        <f t="shared" si="9"/>
        <v>11.037068670994191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'[8]Sch C'!D78</f>
        <v>20000</v>
      </c>
      <c r="D80" s="273">
        <f>'[8]Sch C'!F78</f>
        <v>0</v>
      </c>
      <c r="E80" s="259">
        <f t="shared" ref="E80:E91" si="10">SUM(C80:D80)</f>
        <v>20000</v>
      </c>
      <c r="F80" s="180"/>
      <c r="G80" s="180">
        <f>IF(ISERROR(E80+F80),"",(E80+F80))</f>
        <v>20000</v>
      </c>
      <c r="H80" s="181">
        <f t="shared" ref="H80:H92" si="11">IF(ISERROR(G80/$G$183),"",(G80/$G$183))</f>
        <v>2.2660321776569226E-2</v>
      </c>
      <c r="J80" s="261">
        <v>1333</v>
      </c>
      <c r="K80" s="261">
        <v>1333</v>
      </c>
      <c r="M80" s="237">
        <f t="shared" ref="M80:M92" si="12">IFERROR(G80/G$198,0)</f>
        <v>3.4164673727365904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'[8]Sch C'!D79</f>
        <v>0</v>
      </c>
      <c r="D81" s="273">
        <f>'[8]Sch C'!F79</f>
        <v>2409</v>
      </c>
      <c r="E81" s="259">
        <f t="shared" si="10"/>
        <v>2409</v>
      </c>
      <c r="F81" s="183"/>
      <c r="G81" s="183">
        <f>IF(ISERROR(E81+F81),"",(E81+F81))</f>
        <v>2409</v>
      </c>
      <c r="H81" s="181">
        <f t="shared" si="11"/>
        <v>2.7294357579877634E-3</v>
      </c>
      <c r="J81" s="136"/>
      <c r="K81" s="136"/>
      <c r="M81" s="237">
        <f t="shared" si="12"/>
        <v>0.41151349504612234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'[8]Sch C'!D80</f>
        <v>1835</v>
      </c>
      <c r="D82" s="273">
        <f>'[8]Sch C'!F80</f>
        <v>40</v>
      </c>
      <c r="E82" s="259">
        <f t="shared" si="10"/>
        <v>1875</v>
      </c>
      <c r="F82" s="183"/>
      <c r="G82" s="183">
        <f>IF(ISERROR(E82+F82),"",(E82+F82))</f>
        <v>1875</v>
      </c>
      <c r="H82" s="181">
        <f t="shared" si="11"/>
        <v>2.1244051665533651E-3</v>
      </c>
      <c r="J82" s="136"/>
      <c r="K82" s="136"/>
      <c r="M82" s="237">
        <f t="shared" si="12"/>
        <v>0.32029381619405534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'[8]Sch C'!D81</f>
        <v>0</v>
      </c>
      <c r="D83" s="273">
        <f>'[8]Sch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'[8]Sch C'!D82</f>
        <v>0</v>
      </c>
      <c r="D84" s="273">
        <f>'[8]Sch C'!F82</f>
        <v>0</v>
      </c>
      <c r="E84" s="259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'[8]Sch C'!D83</f>
        <v>12788</v>
      </c>
      <c r="D85" s="273">
        <f>'[8]Sch C'!F83</f>
        <v>1323</v>
      </c>
      <c r="E85" s="259">
        <f t="shared" si="10"/>
        <v>14111</v>
      </c>
      <c r="F85" s="183"/>
      <c r="G85" s="183">
        <f t="shared" si="13"/>
        <v>14111</v>
      </c>
      <c r="H85" s="181">
        <f t="shared" si="11"/>
        <v>1.5987990029458419E-2</v>
      </c>
      <c r="J85" s="136"/>
      <c r="K85" s="136"/>
      <c r="M85" s="237">
        <f t="shared" si="12"/>
        <v>2.4104885548343011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'[8]Sch C'!D84</f>
        <v>16236</v>
      </c>
      <c r="D86" s="273">
        <f>'[8]Sch C'!F84</f>
        <v>152</v>
      </c>
      <c r="E86" s="259">
        <f t="shared" si="10"/>
        <v>16388</v>
      </c>
      <c r="F86" s="183"/>
      <c r="G86" s="183">
        <f t="shared" si="13"/>
        <v>16388</v>
      </c>
      <c r="H86" s="181">
        <f t="shared" si="11"/>
        <v>1.8567867663720823E-2</v>
      </c>
      <c r="J86" s="136"/>
      <c r="K86" s="136"/>
      <c r="M86" s="237">
        <f t="shared" si="12"/>
        <v>2.7994533652203621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'[8]Sch C'!D85</f>
        <v>0</v>
      </c>
      <c r="D87" s="273">
        <f>'[8]Sch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'[8]Sch C'!D86</f>
        <v>14335</v>
      </c>
      <c r="D88" s="273">
        <f>'[8]Sch C'!F86</f>
        <v>1769</v>
      </c>
      <c r="E88" s="259">
        <f t="shared" si="10"/>
        <v>16104</v>
      </c>
      <c r="F88" s="183"/>
      <c r="G88" s="183">
        <f t="shared" si="13"/>
        <v>16104</v>
      </c>
      <c r="H88" s="181">
        <f t="shared" si="11"/>
        <v>1.824609109449354E-2</v>
      </c>
      <c r="J88" s="136"/>
      <c r="K88" s="136"/>
      <c r="M88" s="237">
        <f t="shared" si="12"/>
        <v>2.7509395285275025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'[8]Sch C'!D87</f>
        <v>27577</v>
      </c>
      <c r="D89" s="273">
        <f>'[8]Sch C'!F87</f>
        <v>408</v>
      </c>
      <c r="E89" s="259">
        <f t="shared" si="10"/>
        <v>27985</v>
      </c>
      <c r="F89" s="183"/>
      <c r="G89" s="183">
        <f t="shared" si="13"/>
        <v>27985</v>
      </c>
      <c r="H89" s="181">
        <f t="shared" si="11"/>
        <v>3.1707455245864491E-2</v>
      </c>
      <c r="J89" s="136"/>
      <c r="K89" s="136"/>
      <c r="M89" s="237">
        <f t="shared" si="12"/>
        <v>4.7804919713016742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'[8]Sch C'!D88</f>
        <v>0</v>
      </c>
      <c r="D90" s="273">
        <f>'[8]Sch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'[8]Sch C'!D89</f>
        <v>0</v>
      </c>
      <c r="D91" s="273">
        <f>'[8]Sch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92771</v>
      </c>
      <c r="D92" s="273">
        <f>SUM(D80:D91)</f>
        <v>6101</v>
      </c>
      <c r="E92" s="183">
        <f>SUM(E80:E91)</f>
        <v>98872</v>
      </c>
      <c r="F92" s="183">
        <f>SUM(F80:F91)</f>
        <v>0</v>
      </c>
      <c r="G92" s="183">
        <f>IF(ISERROR(E92+F92),"",(E92+F92))</f>
        <v>98872</v>
      </c>
      <c r="H92" s="181">
        <f t="shared" si="11"/>
        <v>0.11202356673464763</v>
      </c>
      <c r="J92" s="136"/>
      <c r="K92" s="136"/>
      <c r="M92" s="237">
        <f t="shared" si="12"/>
        <v>16.889648103860608</v>
      </c>
      <c r="N92" s="243">
        <f>SUMMARY!M92</f>
        <v>10.36414021133649</v>
      </c>
      <c r="O92" s="238">
        <f>M92/N92-1</f>
        <v>0.62962365999124503</v>
      </c>
      <c r="P92" s="178">
        <f>IF(O92&gt;=0.2,0.6,0)</f>
        <v>0.6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'[8]Sch C'!D93</f>
        <v>3000</v>
      </c>
      <c r="D95" s="273">
        <f>'[8]Sch C'!F93</f>
        <v>0</v>
      </c>
      <c r="E95" s="259">
        <f t="shared" ref="E95:E100" si="14">SUM(C95:D95)</f>
        <v>3000</v>
      </c>
      <c r="F95" s="180"/>
      <c r="G95" s="180">
        <f t="shared" ref="G95:G101" si="15">IF(ISERROR(E95+F95),"",(E95+F95))</f>
        <v>3000</v>
      </c>
      <c r="H95" s="181">
        <f t="shared" ref="H95:H101" si="16">IF(ISERROR(G95/$G$183),"",(G95/$G$183))</f>
        <v>3.3990482664853841E-3</v>
      </c>
      <c r="J95" s="261">
        <v>413</v>
      </c>
      <c r="K95" s="261">
        <v>413</v>
      </c>
      <c r="M95" s="237">
        <f t="shared" ref="M95:M101" si="17">IFERROR(G95/G$198,0)</f>
        <v>0.51247010591048858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'[8]Sch C'!D94</f>
        <v>0</v>
      </c>
      <c r="D96" s="273">
        <f>'[8]Sch C'!F94</f>
        <v>361</v>
      </c>
      <c r="E96" s="259">
        <f t="shared" si="14"/>
        <v>361</v>
      </c>
      <c r="F96" s="183"/>
      <c r="G96" s="183">
        <f t="shared" si="15"/>
        <v>361</v>
      </c>
      <c r="H96" s="181">
        <f t="shared" si="16"/>
        <v>4.0901880806707455E-4</v>
      </c>
      <c r="J96" s="136"/>
      <c r="K96" s="136"/>
      <c r="M96" s="237">
        <f t="shared" si="17"/>
        <v>6.1667236077895454E-2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'[8]Sch C'!D95</f>
        <v>770</v>
      </c>
      <c r="D97" s="273">
        <f>'[8]Sch C'!F95</f>
        <v>0</v>
      </c>
      <c r="E97" s="259">
        <f t="shared" si="14"/>
        <v>770</v>
      </c>
      <c r="F97" s="183"/>
      <c r="G97" s="183">
        <f t="shared" si="15"/>
        <v>770</v>
      </c>
      <c r="H97" s="181">
        <f t="shared" si="16"/>
        <v>8.7242238839791526E-4</v>
      </c>
      <c r="J97" s="136"/>
      <c r="K97" s="136"/>
      <c r="M97" s="237">
        <f t="shared" si="17"/>
        <v>0.13153399385035872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'[8]Sch C'!D96</f>
        <v>53742</v>
      </c>
      <c r="D98" s="273">
        <f>'[8]Sch C'!F96</f>
        <v>3</v>
      </c>
      <c r="E98" s="259">
        <f t="shared" si="14"/>
        <v>53745</v>
      </c>
      <c r="F98" s="183"/>
      <c r="G98" s="183">
        <f t="shared" si="15"/>
        <v>53745</v>
      </c>
      <c r="H98" s="181">
        <f t="shared" si="16"/>
        <v>6.0893949694085653E-2</v>
      </c>
      <c r="J98" s="136"/>
      <c r="K98" s="136"/>
      <c r="M98" s="237">
        <f t="shared" si="17"/>
        <v>9.1809019473864026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'[8]Sch C'!D97</f>
        <v>5340</v>
      </c>
      <c r="D99" s="273">
        <f>'[8]Sch C'!F97</f>
        <v>35</v>
      </c>
      <c r="E99" s="259">
        <f t="shared" si="14"/>
        <v>5375</v>
      </c>
      <c r="F99" s="183"/>
      <c r="G99" s="183">
        <f t="shared" si="15"/>
        <v>5375</v>
      </c>
      <c r="H99" s="181">
        <f t="shared" si="16"/>
        <v>6.0899614774529796E-3</v>
      </c>
      <c r="J99" s="136"/>
      <c r="K99" s="136"/>
      <c r="M99" s="237">
        <f t="shared" si="17"/>
        <v>0.9181756064229587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'[8]Sch C'!D98</f>
        <v>0</v>
      </c>
      <c r="D100" s="273">
        <f>'[8]Sch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62852</v>
      </c>
      <c r="D101" s="273">
        <f>SUM(D95:D100)</f>
        <v>399</v>
      </c>
      <c r="E101" s="183">
        <f>SUM(E95:E100)</f>
        <v>63251</v>
      </c>
      <c r="F101" s="183">
        <f>SUM(F95:F100)</f>
        <v>0</v>
      </c>
      <c r="G101" s="183">
        <f t="shared" si="15"/>
        <v>63251</v>
      </c>
      <c r="H101" s="181">
        <f t="shared" si="16"/>
        <v>7.1664400634489006E-2</v>
      </c>
      <c r="J101" s="136"/>
      <c r="K101" s="136"/>
      <c r="M101" s="237">
        <f t="shared" si="17"/>
        <v>10.804748889648105</v>
      </c>
      <c r="N101" s="243">
        <f>SUMMARY!M101</f>
        <v>14.116295917008408</v>
      </c>
      <c r="O101" s="238">
        <f>M101/N101-1</f>
        <v>-0.23459036611511486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'[8]Sch C'!D102</f>
        <v>0</v>
      </c>
      <c r="D104" s="273">
        <f>'[8]Sch C'!F102</f>
        <v>0</v>
      </c>
      <c r="E104" s="259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'[8]Sch C'!D103</f>
        <v>0</v>
      </c>
      <c r="D105" s="273">
        <f>'[8]Sch C'!F103</f>
        <v>0</v>
      </c>
      <c r="E105" s="259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'[8]Sch C'!D104</f>
        <v>87</v>
      </c>
      <c r="D106" s="273">
        <f>'[8]Sch C'!F104</f>
        <v>0</v>
      </c>
      <c r="E106" s="259">
        <f t="shared" si="18"/>
        <v>87</v>
      </c>
      <c r="F106" s="183"/>
      <c r="G106" s="183">
        <f t="shared" si="19"/>
        <v>87</v>
      </c>
      <c r="H106" s="181">
        <f t="shared" si="20"/>
        <v>9.8572399728076137E-5</v>
      </c>
      <c r="J106" s="136"/>
      <c r="K106" s="136"/>
      <c r="M106" s="237">
        <f t="shared" si="21"/>
        <v>1.4861633071404168E-2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'[8]Sch C'!D105</f>
        <v>0</v>
      </c>
      <c r="D107" s="273">
        <f>'[8]Sch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'[8]Sch C'!D106</f>
        <v>147</v>
      </c>
      <c r="D108" s="273">
        <f>'[8]Sch C'!F106</f>
        <v>0</v>
      </c>
      <c r="E108" s="259">
        <f t="shared" si="18"/>
        <v>147</v>
      </c>
      <c r="F108" s="183"/>
      <c r="G108" s="183">
        <f t="shared" si="19"/>
        <v>147</v>
      </c>
      <c r="H108" s="181">
        <f t="shared" si="20"/>
        <v>1.6655336505778381E-4</v>
      </c>
      <c r="J108" s="136"/>
      <c r="K108" s="136"/>
      <c r="M108" s="237">
        <f t="shared" si="21"/>
        <v>2.5111035189613939E-2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'[8]Sch C'!D107</f>
        <v>0</v>
      </c>
      <c r="D109" s="273">
        <f>'[8]Sch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234</v>
      </c>
      <c r="D110" s="273">
        <f>SUM(D104:D109)</f>
        <v>0</v>
      </c>
      <c r="E110" s="183">
        <f>SUM(E104:E109)</f>
        <v>234</v>
      </c>
      <c r="F110" s="183">
        <f>SUM(F104:F109)</f>
        <v>0</v>
      </c>
      <c r="G110" s="183">
        <f t="shared" si="19"/>
        <v>234</v>
      </c>
      <c r="H110" s="181">
        <f t="shared" si="20"/>
        <v>2.6512576478585997E-4</v>
      </c>
      <c r="J110" s="136"/>
      <c r="K110" s="136"/>
      <c r="M110" s="237">
        <f t="shared" si="21"/>
        <v>3.9972668261018106E-2</v>
      </c>
      <c r="N110" s="243">
        <f>SUMMARY!M110</f>
        <v>2.6822243142585545</v>
      </c>
      <c r="O110" s="238">
        <f>M110/N110-1</f>
        <v>-0.98509719412782681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'[8]Sch C'!D121</f>
        <v>0</v>
      </c>
      <c r="D113" s="273">
        <f>'[8]Sch C'!F121</f>
        <v>0</v>
      </c>
      <c r="E113" s="259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'[8]Sch C'!D122</f>
        <v>0</v>
      </c>
      <c r="D114" s="273">
        <f>'[8]Sch C'!F122</f>
        <v>0</v>
      </c>
      <c r="E114" s="259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'[8]Sch C'!D123</f>
        <v>13624</v>
      </c>
      <c r="D115" s="273">
        <f>'[8]Sch C'!F123</f>
        <v>0</v>
      </c>
      <c r="E115" s="259">
        <f t="shared" si="22"/>
        <v>13624</v>
      </c>
      <c r="F115" s="183"/>
      <c r="G115" s="183">
        <f t="shared" si="23"/>
        <v>13624</v>
      </c>
      <c r="H115" s="181">
        <f t="shared" si="24"/>
        <v>1.5436211194198957E-2</v>
      </c>
      <c r="J115" s="136"/>
      <c r="K115" s="136"/>
      <c r="M115" s="237">
        <f t="shared" si="25"/>
        <v>2.3272975743081652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'[8]Sch C'!D124</f>
        <v>350</v>
      </c>
      <c r="D116" s="273">
        <f>'[8]Sch C'!F124</f>
        <v>0</v>
      </c>
      <c r="E116" s="259">
        <f t="shared" si="22"/>
        <v>350</v>
      </c>
      <c r="F116" s="183"/>
      <c r="G116" s="183">
        <f t="shared" si="23"/>
        <v>350</v>
      </c>
      <c r="H116" s="181">
        <f t="shared" si="24"/>
        <v>3.9655563108996147E-4</v>
      </c>
      <c r="J116" s="136"/>
      <c r="K116" s="136"/>
      <c r="M116" s="237">
        <f t="shared" si="25"/>
        <v>5.9788179022890332E-2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'[8]Sch C'!D125</f>
        <v>0</v>
      </c>
      <c r="D117" s="273">
        <f>'[8]Sch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13974</v>
      </c>
      <c r="D118" s="273">
        <f>SUM(D113:D117)</f>
        <v>0</v>
      </c>
      <c r="E118" s="183">
        <f>SUM(E113:E117)</f>
        <v>13974</v>
      </c>
      <c r="F118" s="183">
        <f>SUM(F113:F117)</f>
        <v>0</v>
      </c>
      <c r="G118" s="183">
        <f t="shared" si="23"/>
        <v>13974</v>
      </c>
      <c r="H118" s="181">
        <f t="shared" si="24"/>
        <v>1.5832766825288919E-2</v>
      </c>
      <c r="J118" s="136"/>
      <c r="K118" s="136"/>
      <c r="M118" s="237">
        <f t="shared" si="25"/>
        <v>2.3870857533310557</v>
      </c>
      <c r="N118" s="243">
        <f>SUMMARY!M118</f>
        <v>3.1676887539780583</v>
      </c>
      <c r="O118" s="238">
        <f>M118/N118-1</f>
        <v>-0.24642667296990683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'[8]Sch C'!D129</f>
        <v>0</v>
      </c>
      <c r="D121" s="273">
        <f>'[8]Sch C'!F129</f>
        <v>0</v>
      </c>
      <c r="E121" s="259">
        <f t="shared" ref="E121:E131" si="26">SUM(C121:D121)</f>
        <v>0</v>
      </c>
      <c r="F121" s="180"/>
      <c r="G121" s="180">
        <f t="shared" ref="G121:G131" si="27">IF(ISERROR(E121+F121),"",(E121+F121))</f>
        <v>0</v>
      </c>
      <c r="H121" s="181">
        <f t="shared" ref="H121:H131" si="28">IF(ISERROR(G121/$G$183),"",(G121/$G$183))</f>
        <v>0</v>
      </c>
      <c r="J121" s="261">
        <v>0</v>
      </c>
      <c r="K121" s="261">
        <v>0</v>
      </c>
      <c r="M121" s="237">
        <f t="shared" ref="M121:M131" si="29">IFERROR(G121/G$198,0)</f>
        <v>0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'[8]Sch C'!D130</f>
        <v>0</v>
      </c>
      <c r="D122" s="273">
        <f>'[8]Sch C'!F130</f>
        <v>0</v>
      </c>
      <c r="E122" s="259">
        <f t="shared" si="26"/>
        <v>0</v>
      </c>
      <c r="F122" s="180"/>
      <c r="G122" s="180">
        <f t="shared" si="27"/>
        <v>0</v>
      </c>
      <c r="H122" s="181">
        <f t="shared" si="28"/>
        <v>0</v>
      </c>
      <c r="J122" s="136"/>
      <c r="K122" s="136"/>
      <c r="M122" s="237">
        <f t="shared" si="29"/>
        <v>0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'[8]Sch C'!D131</f>
        <v>275089</v>
      </c>
      <c r="D123" s="273">
        <f>'[8]Sch C'!F131</f>
        <v>0</v>
      </c>
      <c r="E123" s="259">
        <f t="shared" si="26"/>
        <v>275089</v>
      </c>
      <c r="F123" s="180"/>
      <c r="G123" s="180">
        <f t="shared" si="27"/>
        <v>275089</v>
      </c>
      <c r="H123" s="181">
        <f t="shared" si="28"/>
        <v>0.3116802628597326</v>
      </c>
      <c r="J123" s="261">
        <v>24651</v>
      </c>
      <c r="K123" s="261">
        <v>25849</v>
      </c>
      <c r="M123" s="237">
        <f t="shared" si="29"/>
        <v>46.991629654936794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'[8]Sch C'!D132</f>
        <v>0</v>
      </c>
      <c r="D124" s="273">
        <f>'[8]Sch C'!F132</f>
        <v>33141</v>
      </c>
      <c r="E124" s="259">
        <f t="shared" si="26"/>
        <v>33141</v>
      </c>
      <c r="F124" s="180"/>
      <c r="G124" s="180">
        <f t="shared" si="27"/>
        <v>33141</v>
      </c>
      <c r="H124" s="181">
        <f t="shared" si="28"/>
        <v>3.7549286199864036E-2</v>
      </c>
      <c r="J124" s="136"/>
      <c r="K124" s="136"/>
      <c r="M124" s="237">
        <f t="shared" si="29"/>
        <v>5.6612572599931674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'[8]Sch C'!D133</f>
        <v>0</v>
      </c>
      <c r="D125" s="273">
        <f>'[8]Sch C'!F133</f>
        <v>0</v>
      </c>
      <c r="E125" s="259">
        <f t="shared" si="26"/>
        <v>0</v>
      </c>
      <c r="F125" s="180"/>
      <c r="G125" s="180">
        <f t="shared" si="27"/>
        <v>0</v>
      </c>
      <c r="H125" s="181">
        <f t="shared" si="28"/>
        <v>0</v>
      </c>
      <c r="J125" s="261">
        <v>0</v>
      </c>
      <c r="K125" s="261">
        <v>0</v>
      </c>
      <c r="M125" s="237">
        <f t="shared" si="29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'[8]Sch C'!D134</f>
        <v>3465</v>
      </c>
      <c r="D126" s="273">
        <f>'[8]Sch C'!F134</f>
        <v>16</v>
      </c>
      <c r="E126" s="259">
        <f t="shared" si="26"/>
        <v>3481</v>
      </c>
      <c r="F126" s="180"/>
      <c r="G126" s="180">
        <f t="shared" si="27"/>
        <v>3481</v>
      </c>
      <c r="H126" s="181">
        <f t="shared" si="28"/>
        <v>3.9440290052118743E-3</v>
      </c>
      <c r="J126" s="136"/>
      <c r="K126" s="136"/>
      <c r="M126" s="237">
        <f t="shared" si="29"/>
        <v>0.59463614622480354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'[8]Sch C'!D135</f>
        <v>0</v>
      </c>
      <c r="D127" s="273">
        <f>'[8]Sch C'!F135</f>
        <v>0</v>
      </c>
      <c r="E127" s="259">
        <f t="shared" si="26"/>
        <v>0</v>
      </c>
      <c r="F127" s="180"/>
      <c r="G127" s="180">
        <f t="shared" si="27"/>
        <v>0</v>
      </c>
      <c r="H127" s="181">
        <f t="shared" si="28"/>
        <v>0</v>
      </c>
      <c r="J127" s="136"/>
      <c r="K127" s="136"/>
      <c r="M127" s="237">
        <f t="shared" si="29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'[8]Sch C'!D136</f>
        <v>0</v>
      </c>
      <c r="D128" s="273">
        <f>'[8]Sch C'!F136</f>
        <v>0</v>
      </c>
      <c r="E128" s="259">
        <f t="shared" si="26"/>
        <v>0</v>
      </c>
      <c r="F128" s="180"/>
      <c r="G128" s="180">
        <f t="shared" si="27"/>
        <v>0</v>
      </c>
      <c r="H128" s="181">
        <f t="shared" si="28"/>
        <v>0</v>
      </c>
      <c r="J128" s="136"/>
      <c r="K128" s="136"/>
      <c r="M128" s="237">
        <f t="shared" si="29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'[8]Sch C'!D137</f>
        <v>0</v>
      </c>
      <c r="D129" s="273">
        <f>'[8]Sch C'!F137</f>
        <v>0</v>
      </c>
      <c r="E129" s="259">
        <f t="shared" si="26"/>
        <v>0</v>
      </c>
      <c r="F129" s="180"/>
      <c r="G129" s="180">
        <f t="shared" si="27"/>
        <v>0</v>
      </c>
      <c r="H129" s="181">
        <f t="shared" si="28"/>
        <v>0</v>
      </c>
      <c r="J129" s="136"/>
      <c r="K129" s="136"/>
      <c r="M129" s="237">
        <f t="shared" si="29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'[8]Sch C'!D138</f>
        <v>0</v>
      </c>
      <c r="D130" s="273">
        <f>'[8]Sch C'!F138</f>
        <v>0</v>
      </c>
      <c r="E130" s="259">
        <f t="shared" si="26"/>
        <v>0</v>
      </c>
      <c r="F130" s="180"/>
      <c r="G130" s="180">
        <f t="shared" si="27"/>
        <v>0</v>
      </c>
      <c r="H130" s="181">
        <f t="shared" si="28"/>
        <v>0</v>
      </c>
      <c r="J130" s="136"/>
      <c r="K130" s="136"/>
      <c r="M130" s="237">
        <f t="shared" si="29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'[8]Sch C'!D139</f>
        <v>0</v>
      </c>
      <c r="D131" s="273">
        <f>'[8]Sch C'!F139</f>
        <v>0</v>
      </c>
      <c r="E131" s="259">
        <f t="shared" si="26"/>
        <v>0</v>
      </c>
      <c r="F131" s="180"/>
      <c r="G131" s="180">
        <f t="shared" si="27"/>
        <v>0</v>
      </c>
      <c r="H131" s="181">
        <f t="shared" si="28"/>
        <v>0</v>
      </c>
      <c r="J131" s="136"/>
      <c r="K131" s="136"/>
      <c r="M131" s="237">
        <f t="shared" si="29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'[8]Sch C'!D141</f>
        <v>0</v>
      </c>
      <c r="D133" s="273">
        <f>'[8]Sch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'[8]Sch C'!D142</f>
        <v>0</v>
      </c>
      <c r="D134" s="273">
        <f>'[8]Sch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'[8]Sch C'!D143</f>
        <v>0</v>
      </c>
      <c r="D135" s="273">
        <f>'[8]Sch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'[8]Sch C'!D144</f>
        <v>0</v>
      </c>
      <c r="D136" s="273">
        <f>'[8]Sch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'[8]Sch C'!D145</f>
        <v>0</v>
      </c>
      <c r="D137" s="273">
        <f>'[8]Sch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'[8]Sch C'!D146</f>
        <v>0</v>
      </c>
      <c r="D138" s="273">
        <f>'[8]Sch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278554</v>
      </c>
      <c r="D139" s="273">
        <f>SUM(D121:D138)</f>
        <v>33157</v>
      </c>
      <c r="E139" s="182">
        <f>SUM(E121:E138)</f>
        <v>311711</v>
      </c>
      <c r="F139" s="182">
        <f>SUM(F121:F138)</f>
        <v>0</v>
      </c>
      <c r="G139" s="183">
        <f t="shared" si="33"/>
        <v>311711</v>
      </c>
      <c r="H139" s="181">
        <f t="shared" si="31"/>
        <v>0.35317357806480854</v>
      </c>
      <c r="J139" s="136"/>
      <c r="K139" s="136"/>
      <c r="M139" s="237">
        <f t="shared" si="32"/>
        <v>53.247523061154766</v>
      </c>
      <c r="N139" s="243">
        <f>SUMMARY!M139</f>
        <v>37.231450929246826</v>
      </c>
      <c r="O139" s="238">
        <f>M139/N139-1</f>
        <v>0.4301758790530148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'[8]Sch C'!D150</f>
        <v>0</v>
      </c>
      <c r="D142" s="273">
        <f>'[8]Sch C'!F150</f>
        <v>78</v>
      </c>
      <c r="E142" s="259">
        <f t="shared" ref="E142:E146" si="34">SUM(C142:D142)</f>
        <v>78</v>
      </c>
      <c r="F142" s="180"/>
      <c r="G142" s="180">
        <f t="shared" ref="G142:G147" si="35">IF(ISERROR(E142+F142),"",(E142+F142))</f>
        <v>78</v>
      </c>
      <c r="H142" s="181">
        <f t="shared" ref="H142:H147" si="36">IF(ISERROR(G142/$G$183),"",(G142/$G$183))</f>
        <v>8.8375254928619982E-5</v>
      </c>
      <c r="J142" s="261">
        <v>4</v>
      </c>
      <c r="K142" s="261">
        <v>4</v>
      </c>
      <c r="M142" s="237">
        <f t="shared" ref="M142:M147" si="37">IFERROR(G142/G$198,0)</f>
        <v>1.3324222753672703E-2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'[8]Sch C'!D151</f>
        <v>0</v>
      </c>
      <c r="D143" s="273">
        <f>'[8]Sch C'!F151</f>
        <v>0</v>
      </c>
      <c r="E143" s="259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'[8]Sch C'!D152</f>
        <v>2271</v>
      </c>
      <c r="D144" s="273">
        <f>'[8]Sch C'!F152</f>
        <v>286</v>
      </c>
      <c r="E144" s="259">
        <f t="shared" si="34"/>
        <v>2557</v>
      </c>
      <c r="F144" s="183"/>
      <c r="G144" s="183">
        <f t="shared" si="35"/>
        <v>2557</v>
      </c>
      <c r="H144" s="181">
        <f t="shared" si="36"/>
        <v>2.8971221391343757E-3</v>
      </c>
      <c r="J144" s="136"/>
      <c r="K144" s="136"/>
      <c r="M144" s="237">
        <f t="shared" si="37"/>
        <v>0.4367953536043731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'[8]Sch C'!D153</f>
        <v>124</v>
      </c>
      <c r="D145" s="273">
        <f>'[8]Sch C'!F153</f>
        <v>41</v>
      </c>
      <c r="E145" s="259">
        <f t="shared" si="34"/>
        <v>165</v>
      </c>
      <c r="F145" s="183"/>
      <c r="G145" s="183">
        <f t="shared" si="35"/>
        <v>165</v>
      </c>
      <c r="H145" s="181">
        <f t="shared" si="36"/>
        <v>1.8694765465669612E-4</v>
      </c>
      <c r="J145" s="136"/>
      <c r="K145" s="136"/>
      <c r="M145" s="237">
        <f t="shared" si="37"/>
        <v>2.8185855825076871E-2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'[8]Sch C'!D154</f>
        <v>0</v>
      </c>
      <c r="D146" s="273">
        <f>'[8]Sch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2395</v>
      </c>
      <c r="D147" s="273">
        <f>SUM(D142:D146)</f>
        <v>405</v>
      </c>
      <c r="E147" s="183">
        <f>SUM(E142:E146)</f>
        <v>2800</v>
      </c>
      <c r="F147" s="183">
        <f>SUM(F142:F146)</f>
        <v>0</v>
      </c>
      <c r="G147" s="183">
        <f t="shared" si="35"/>
        <v>2800</v>
      </c>
      <c r="H147" s="204">
        <f t="shared" si="36"/>
        <v>3.1724450487196918E-3</v>
      </c>
      <c r="J147" s="136"/>
      <c r="K147" s="136"/>
      <c r="M147" s="237">
        <f t="shared" si="37"/>
        <v>0.47830543218312266</v>
      </c>
      <c r="N147" s="243">
        <f>SUMMARY!M147</f>
        <v>3.5319826687546212</v>
      </c>
      <c r="O147" s="238">
        <f>M147/N147-1</f>
        <v>-0.86457877146045758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'[8]Sch C'!D158</f>
        <v>0</v>
      </c>
      <c r="D150" s="273">
        <f>'[8]Sch C'!F158</f>
        <v>0</v>
      </c>
      <c r="E150" s="259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1">
        <v>0</v>
      </c>
      <c r="K150" s="261">
        <v>0</v>
      </c>
      <c r="M150" s="237">
        <f t="shared" ref="M150:M164" si="39">IFERROR(G150/G$198,0)</f>
        <v>0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'[8]Sch C'!D159</f>
        <v>0</v>
      </c>
      <c r="D151" s="273">
        <f>'[8]Sch C'!F159</f>
        <v>0</v>
      </c>
      <c r="E151" s="259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37">
        <f t="shared" si="39"/>
        <v>0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'[8]Sch C'!D160</f>
        <v>1000</v>
      </c>
      <c r="D152" s="273">
        <f>'[8]Sch C'!F160</f>
        <v>58</v>
      </c>
      <c r="E152" s="259">
        <f t="shared" si="38"/>
        <v>1058</v>
      </c>
      <c r="F152" s="183"/>
      <c r="G152" s="183">
        <f t="shared" ref="G152:G163" si="40">IF(ISERROR(E152+F152),"",(E152+F152))</f>
        <v>1058</v>
      </c>
      <c r="H152" s="181">
        <f t="shared" ref="H152:H163" si="41">IF(ISERROR(G152/$G$183),"",(G152/$G$183))</f>
        <v>1.1987310219805122E-3</v>
      </c>
      <c r="J152" s="136"/>
      <c r="K152" s="136"/>
      <c r="M152" s="237">
        <f t="shared" si="39"/>
        <v>0.18073112401776564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'[8]Sch C'!D161</f>
        <v>0</v>
      </c>
      <c r="D153" s="273">
        <f>'[8]Sch C'!F161</f>
        <v>0</v>
      </c>
      <c r="E153" s="259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'[8]Sch C'!D162</f>
        <v>0</v>
      </c>
      <c r="D154" s="273">
        <f>'[8]Sch C'!F162</f>
        <v>0</v>
      </c>
      <c r="E154" s="259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'[8]Sch C'!D163</f>
        <v>0</v>
      </c>
      <c r="D155" s="273">
        <f>'[8]Sch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'[8]Sch C'!D164</f>
        <v>0</v>
      </c>
      <c r="D156" s="273">
        <f>'[8]Sch C'!F164</f>
        <v>0</v>
      </c>
      <c r="E156" s="259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'[8]Sch C'!D165</f>
        <v>1375</v>
      </c>
      <c r="D157" s="273">
        <f>'[8]Sch C'!F165</f>
        <v>0</v>
      </c>
      <c r="E157" s="259">
        <f t="shared" si="38"/>
        <v>1375</v>
      </c>
      <c r="F157" s="183"/>
      <c r="G157" s="183">
        <f t="shared" si="40"/>
        <v>1375</v>
      </c>
      <c r="H157" s="181">
        <f t="shared" si="41"/>
        <v>1.5578971221391345E-3</v>
      </c>
      <c r="J157" s="206"/>
      <c r="K157" s="206"/>
      <c r="M157" s="237">
        <f t="shared" si="39"/>
        <v>0.23488213187564058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'[8]Sch C'!D166</f>
        <v>0</v>
      </c>
      <c r="D158" s="273">
        <f>'[8]Sch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'[8]Sch C'!D167</f>
        <v>87739</v>
      </c>
      <c r="D159" s="273">
        <f>'[8]Sch C'!F167</f>
        <v>0</v>
      </c>
      <c r="E159" s="259">
        <f t="shared" si="38"/>
        <v>87739</v>
      </c>
      <c r="F159" s="183"/>
      <c r="G159" s="183">
        <f t="shared" si="40"/>
        <v>87739</v>
      </c>
      <c r="H159" s="181">
        <f t="shared" si="41"/>
        <v>9.9409698617720366E-2</v>
      </c>
      <c r="J159" s="206"/>
      <c r="K159" s="206"/>
      <c r="M159" s="237">
        <f t="shared" si="39"/>
        <v>14.987871540826784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'[8]Sch C'!D168</f>
        <v>0</v>
      </c>
      <c r="D160" s="273">
        <f>'[8]Sch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'[8]Sch C'!D169</f>
        <v>0</v>
      </c>
      <c r="D161" s="273">
        <f>'[8]Sch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'[8]Sch C'!D170</f>
        <v>0</v>
      </c>
      <c r="D162" s="273">
        <f>'[8]Sch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'[8]Sch C'!D171</f>
        <v>0</v>
      </c>
      <c r="D163" s="273">
        <f>'[8]Sch C'!F171</f>
        <v>0</v>
      </c>
      <c r="E163" s="259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90114</v>
      </c>
      <c r="D164" s="273">
        <f>SUM(D150:D163)</f>
        <v>58</v>
      </c>
      <c r="E164" s="183">
        <f>SUM(E150:E163)</f>
        <v>90172</v>
      </c>
      <c r="F164" s="183">
        <f>SUM(F150:F163)</f>
        <v>0</v>
      </c>
      <c r="G164" s="183">
        <f>IF(ISERROR(E164+F164),"",(E164+F164))</f>
        <v>90172</v>
      </c>
      <c r="H164" s="181">
        <f>IF(ISERROR(G164/$G$183),"",(G164/$G$183))</f>
        <v>0.10216632676184002</v>
      </c>
      <c r="J164" s="136"/>
      <c r="K164" s="136"/>
      <c r="M164" s="237">
        <f t="shared" si="39"/>
        <v>15.403484796720191</v>
      </c>
      <c r="N164" s="243">
        <f>SUMMARY!M164</f>
        <v>48.166333206280392</v>
      </c>
      <c r="O164" s="238">
        <f>M164/N164-1</f>
        <v>-0.68020225391141598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'[8]Sch C'!D186</f>
        <v>0</v>
      </c>
      <c r="D167" s="273">
        <f>'[8]Sch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'[8]Sch C'!D187</f>
        <v>0</v>
      </c>
      <c r="D168" s="273">
        <f>'[8]Sch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'[8]Sch C'!D188</f>
        <v>0</v>
      </c>
      <c r="D169" s="273">
        <f>'[8]Sch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'[8]Sch C'!D189</f>
        <v>3066</v>
      </c>
      <c r="D170" s="273">
        <f>'[8]Sch C'!F189</f>
        <v>0</v>
      </c>
      <c r="E170" s="259">
        <f t="shared" si="42"/>
        <v>3066</v>
      </c>
      <c r="F170" s="183"/>
      <c r="G170" s="183">
        <f>IF(ISERROR(E170+F170),"",(E170+F170))</f>
        <v>3066</v>
      </c>
      <c r="H170" s="181">
        <f>IF(ISERROR(G170/$G$183),"",(G170/$G$183))</f>
        <v>3.4738273283480624E-3</v>
      </c>
      <c r="I170" s="215"/>
      <c r="J170" s="211"/>
      <c r="K170" s="42"/>
      <c r="M170" s="237">
        <f t="shared" si="43"/>
        <v>0.52374444824051936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'[8]Sch C'!D190</f>
        <v>0</v>
      </c>
      <c r="D171" s="273">
        <f>'[8]Sch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'[8]Sch C'!D191</f>
        <v>0</v>
      </c>
      <c r="D172" s="273">
        <f>'[8]Sch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'[8]Sch C'!D192</f>
        <v>0</v>
      </c>
      <c r="D173" s="273">
        <f>'[8]Sch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'[8]Sch C'!D193</f>
        <v>0</v>
      </c>
      <c r="D174" s="273">
        <f>'[8]Sch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'[8]Sch C'!D194</f>
        <v>0</v>
      </c>
      <c r="D175" s="273">
        <f>'[8]Sch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'[8]Sch C'!D195</f>
        <v>0</v>
      </c>
      <c r="D176" s="273">
        <f>'[8]Sch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'[8]Sch C'!D196</f>
        <v>0</v>
      </c>
      <c r="D177" s="273">
        <f>'[8]Sch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'[8]Sch C'!D197</f>
        <v>0</v>
      </c>
      <c r="D178" s="273">
        <f>'[8]Sch C'!F197</f>
        <v>0</v>
      </c>
      <c r="E178" s="259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'[8]Sch C'!D198</f>
        <v>0</v>
      </c>
      <c r="D179" s="273">
        <f>'[8]Sch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'[8]Sch C'!D199</f>
        <v>217</v>
      </c>
      <c r="D180" s="273">
        <f>'[8]Sch C'!F199</f>
        <v>0</v>
      </c>
      <c r="E180" s="259">
        <f t="shared" si="42"/>
        <v>217</v>
      </c>
      <c r="F180" s="183"/>
      <c r="G180" s="183">
        <f t="shared" si="44"/>
        <v>217</v>
      </c>
      <c r="H180" s="181">
        <f t="shared" si="45"/>
        <v>2.4586449127577613E-4</v>
      </c>
      <c r="I180" s="215"/>
      <c r="J180" s="211"/>
      <c r="K180" s="42"/>
      <c r="M180" s="237">
        <f t="shared" si="43"/>
        <v>3.7068670994192005E-2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3283</v>
      </c>
      <c r="D181" s="273">
        <f>SUM(D167:D180)</f>
        <v>0</v>
      </c>
      <c r="E181" s="218">
        <f>SUM(E167:E180)</f>
        <v>3283</v>
      </c>
      <c r="F181" s="218">
        <f>SUM(F167:F180)</f>
        <v>0</v>
      </c>
      <c r="G181" s="183">
        <f t="shared" si="44"/>
        <v>3283</v>
      </c>
      <c r="H181" s="181">
        <f>IF(ISERROR(G181/$G$183),"",(G181/$G$183))</f>
        <v>3.7196918196238386E-3</v>
      </c>
      <c r="I181" s="219"/>
      <c r="J181" s="211"/>
      <c r="K181" s="211"/>
      <c r="M181" s="237">
        <f t="shared" si="43"/>
        <v>0.56081311923471133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872953</v>
      </c>
      <c r="D183" s="273">
        <f>SUM(D21:D181)/2</f>
        <v>9647</v>
      </c>
      <c r="E183" s="258">
        <f>SUM(E21:E181)/2</f>
        <v>882600</v>
      </c>
      <c r="F183" s="179">
        <f>SUM(F21:F181)/2</f>
        <v>0</v>
      </c>
      <c r="G183" s="179">
        <f>SUM(G21:G181)/2</f>
        <v>882600</v>
      </c>
      <c r="H183" s="181">
        <f>IF(ISERROR(G183/$G$183),"",(G183/$G$183))</f>
        <v>1</v>
      </c>
      <c r="J183" s="261">
        <f>SUM(J21:J181)</f>
        <v>30561</v>
      </c>
      <c r="K183" s="261">
        <f>SUM(K21:K181)</f>
        <v>31759</v>
      </c>
      <c r="M183" s="237">
        <f>IFERROR(G183/G$198,0)</f>
        <v>150.76870515886574</v>
      </c>
      <c r="N183" s="243">
        <f>SUMMARY!M183</f>
        <v>169.52310231129192</v>
      </c>
      <c r="P183" s="178">
        <f>SUM(P57:P181)</f>
        <v>2.2000000000000002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'[8]Sch C'!D204</f>
        <v>872953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96467</v>
      </c>
      <c r="D190" s="273">
        <f>D17-D183</f>
        <v>-9647</v>
      </c>
      <c r="E190" s="259">
        <f>E17-E183</f>
        <v>86820</v>
      </c>
      <c r="F190" s="180">
        <f>F17-F183</f>
        <v>0</v>
      </c>
      <c r="G190" s="180">
        <f>G17-G183</f>
        <v>86820</v>
      </c>
      <c r="J190" s="136"/>
      <c r="K190" s="136"/>
      <c r="M190" s="237">
        <f>IFERROR(G190/G$198,0)</f>
        <v>14.830884865049539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'[8]Sch D'!C9</f>
        <v>5854</v>
      </c>
      <c r="D194" s="313"/>
      <c r="E194" s="264">
        <f>C194+D194</f>
        <v>5854</v>
      </c>
      <c r="F194" s="224"/>
      <c r="G194" s="225">
        <f>E194+F194</f>
        <v>5854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'[8]Sch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'[8]Sch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'[8]Sch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5854</v>
      </c>
      <c r="D198" s="313"/>
      <c r="E198" s="265">
        <f>SUM(E194:E197)</f>
        <v>5854</v>
      </c>
      <c r="F198" s="229">
        <f>SUM(F194:F197)</f>
        <v>0</v>
      </c>
      <c r="G198" s="229">
        <f>SUM(G194:G197)</f>
        <v>5854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270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'[8]Sch D'!G22</f>
        <v>16</v>
      </c>
      <c r="D201" s="312"/>
      <c r="E201" s="264">
        <f>C201+D201</f>
        <v>16</v>
      </c>
      <c r="F201" s="224"/>
      <c r="G201" s="231">
        <f>E201+F201</f>
        <v>16</v>
      </c>
      <c r="H201" s="279"/>
      <c r="I201" s="43"/>
      <c r="J201" s="136"/>
      <c r="K201" s="136"/>
    </row>
    <row r="202" spans="1:11">
      <c r="A202" s="42"/>
      <c r="B202" s="118" t="s">
        <v>310</v>
      </c>
      <c r="C202" s="274">
        <f>'[8]Sch D'!G24</f>
        <v>16</v>
      </c>
      <c r="D202" s="312"/>
      <c r="E202" s="264">
        <f>C202+D202</f>
        <v>16</v>
      </c>
      <c r="F202" s="226"/>
      <c r="G202" s="231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'[8]Sch D'!G28</f>
        <v>5856</v>
      </c>
      <c r="D205" s="283"/>
      <c r="E205" s="260">
        <f>E201*E203</f>
        <v>5856</v>
      </c>
      <c r="F205" s="260">
        <f>G201*F203</f>
        <v>0</v>
      </c>
      <c r="G205" s="224">
        <f>G201*G203</f>
        <v>5856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'[8]Sch D'!G30</f>
        <v>0.99965846994535523</v>
      </c>
      <c r="D206" s="36"/>
      <c r="E206" s="266">
        <f>IFERROR(E198/E205,"0")</f>
        <v>0.99965846994535523</v>
      </c>
      <c r="F206" s="337" t="str">
        <f>IFERROR(F198/F205,"")</f>
        <v/>
      </c>
      <c r="G206" s="233">
        <f>G198/G205</f>
        <v>0.99965846994535523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'[8]Sch D'!G32</f>
        <v>0.99965846994535523</v>
      </c>
      <c r="D207" s="36"/>
      <c r="E207" s="266">
        <f>IFERROR((E194+E195)/E205,"0")</f>
        <v>0.99965846994535523</v>
      </c>
      <c r="F207" s="337" t="str">
        <f>IFERROR(((F194+F195)/F205),"")</f>
        <v/>
      </c>
      <c r="G207" s="233">
        <f>(G194+G195)/G205</f>
        <v>0.99965846994535523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'[8]Sch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B212" s="285" t="s">
        <v>372</v>
      </c>
      <c r="F212" s="51" t="s">
        <v>307</v>
      </c>
      <c r="G212" s="234"/>
    </row>
    <row r="213" spans="1:11">
      <c r="B213" s="285" t="s">
        <v>376</v>
      </c>
      <c r="F213" s="51" t="s">
        <v>308</v>
      </c>
      <c r="G213" s="234"/>
    </row>
    <row r="214" spans="1:11">
      <c r="B214" s="285" t="s">
        <v>377</v>
      </c>
    </row>
    <row r="215" spans="1:11">
      <c r="B215" s="285"/>
    </row>
  </sheetData>
  <conditionalFormatting sqref="D2">
    <cfRule type="cellIs" dxfId="23" priority="4" stopIfTrue="1" operator="equal">
      <formula>0</formula>
    </cfRule>
  </conditionalFormatting>
  <conditionalFormatting sqref="D2">
    <cfRule type="cellIs" dxfId="22" priority="3" stopIfTrue="1" operator="equal">
      <formula>0</formula>
    </cfRule>
  </conditionalFormatting>
  <conditionalFormatting sqref="C2">
    <cfRule type="cellIs" dxfId="21" priority="2" stopIfTrue="1" operator="equal">
      <formula>0</formula>
    </cfRule>
  </conditionalFormatting>
  <conditionalFormatting sqref="C2">
    <cfRule type="cellIs" dxfId="20" priority="1" stopIfTrue="1" operator="equal">
      <formula>0</formula>
    </cfRule>
  </conditionalFormatting>
  <pageMargins left="0.75" right="0.75" top="1" bottom="1" header="0.5" footer="0.5"/>
  <pageSetup scale="3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P213"/>
  <sheetViews>
    <sheetView showGridLines="0" topLeftCell="A197" zoomScale="98" zoomScaleNormal="98" workbookViewId="0">
      <selection activeCell="F209" sqref="F209"/>
    </sheetView>
  </sheetViews>
  <sheetFormatPr defaultColWidth="11.69921875" defaultRowHeight="13"/>
  <cols>
    <col min="1" max="1" width="29.69921875" style="51" customWidth="1"/>
    <col min="2" max="2" width="35.796875" style="52" customWidth="1"/>
    <col min="3" max="3" width="32.296875" style="52" customWidth="1"/>
    <col min="4" max="4" width="17" style="52" customWidth="1"/>
    <col min="5" max="5" width="17.09765625" style="52" customWidth="1"/>
    <col min="6" max="6" width="19" style="52" customWidth="1"/>
    <col min="7" max="7" width="18" style="52" customWidth="1"/>
    <col min="8" max="8" width="16.796875" style="52" customWidth="1"/>
    <col min="9" max="9" width="2.09765625" style="52" customWidth="1"/>
    <col min="10" max="10" width="18.3984375" style="53" customWidth="1"/>
    <col min="11" max="11" width="15.796875" style="53" customWidth="1"/>
    <col min="12" max="13" width="11.69921875" style="52"/>
    <col min="14" max="14" width="12" style="52" bestFit="1" customWidth="1"/>
    <col min="15" max="15" width="14.296875" style="52" bestFit="1" customWidth="1"/>
    <col min="16" max="16" width="20.296875" style="52" bestFit="1" customWidth="1"/>
    <col min="17" max="16384" width="11.69921875" style="52"/>
  </cols>
  <sheetData>
    <row r="1" spans="1:16" ht="22.5">
      <c r="A1" s="163"/>
      <c r="B1" s="159" t="s">
        <v>333</v>
      </c>
      <c r="C1" s="285"/>
    </row>
    <row r="2" spans="1:16" ht="23" customHeight="1">
      <c r="A2" s="160" t="s">
        <v>388</v>
      </c>
      <c r="B2" s="161" t="s">
        <v>184</v>
      </c>
      <c r="C2" s="268" t="s">
        <v>370</v>
      </c>
      <c r="D2" s="263"/>
      <c r="E2" s="25"/>
    </row>
    <row r="3" spans="1:16">
      <c r="A3" s="24"/>
      <c r="B3" s="52" t="s">
        <v>185</v>
      </c>
      <c r="C3" s="272">
        <v>42186</v>
      </c>
      <c r="D3" s="25"/>
      <c r="E3" s="163"/>
    </row>
    <row r="4" spans="1:16">
      <c r="A4" s="24"/>
      <c r="B4" s="164" t="s">
        <v>186</v>
      </c>
      <c r="C4" s="165">
        <v>42551</v>
      </c>
      <c r="D4" s="25"/>
      <c r="E4" s="166"/>
      <c r="G4" s="167"/>
    </row>
    <row r="5" spans="1:16">
      <c r="A5" s="24"/>
      <c r="B5" s="164"/>
      <c r="C5" s="168"/>
      <c r="D5" s="25"/>
      <c r="E5" s="163"/>
      <c r="F5" s="52" t="s">
        <v>379</v>
      </c>
      <c r="G5" s="167"/>
    </row>
    <row r="6" spans="1:16">
      <c r="A6" s="24"/>
      <c r="B6" s="164"/>
      <c r="C6" s="168"/>
      <c r="D6" s="25"/>
      <c r="F6" s="285" t="s">
        <v>380</v>
      </c>
    </row>
    <row r="7" spans="1:16">
      <c r="A7" s="24"/>
      <c r="B7" s="164"/>
      <c r="C7" s="169" t="s">
        <v>2</v>
      </c>
      <c r="D7" s="26" t="s">
        <v>3</v>
      </c>
      <c r="E7" s="166" t="s">
        <v>4</v>
      </c>
      <c r="F7" s="27" t="s">
        <v>5</v>
      </c>
      <c r="G7" s="26" t="s">
        <v>6</v>
      </c>
      <c r="H7" s="166" t="s">
        <v>7</v>
      </c>
      <c r="J7" s="53">
        <v>7</v>
      </c>
      <c r="K7" s="53">
        <v>8</v>
      </c>
      <c r="M7" s="163">
        <v>9</v>
      </c>
      <c r="N7" s="163">
        <v>10</v>
      </c>
      <c r="O7" s="163">
        <v>11</v>
      </c>
      <c r="P7" s="163">
        <v>12</v>
      </c>
    </row>
    <row r="8" spans="1:16">
      <c r="B8" s="164"/>
      <c r="C8" s="170" t="s">
        <v>10</v>
      </c>
      <c r="D8" s="171" t="s">
        <v>11</v>
      </c>
      <c r="E8" s="171" t="s">
        <v>12</v>
      </c>
      <c r="F8" s="171" t="s">
        <v>187</v>
      </c>
      <c r="G8" s="171" t="s">
        <v>14</v>
      </c>
      <c r="H8" s="172" t="s">
        <v>334</v>
      </c>
      <c r="J8" s="173" t="s">
        <v>323</v>
      </c>
      <c r="K8" s="173" t="s">
        <v>324</v>
      </c>
      <c r="M8" s="173" t="s">
        <v>352</v>
      </c>
      <c r="N8" s="173" t="s">
        <v>353</v>
      </c>
      <c r="O8" s="173" t="s">
        <v>354</v>
      </c>
      <c r="P8" s="173" t="s">
        <v>355</v>
      </c>
    </row>
    <row r="9" spans="1:16">
      <c r="B9" s="164"/>
      <c r="C9" s="165"/>
      <c r="D9" s="174"/>
      <c r="E9" s="174" t="s">
        <v>16</v>
      </c>
      <c r="F9" s="174" t="s">
        <v>189</v>
      </c>
      <c r="G9" s="174" t="s">
        <v>17</v>
      </c>
      <c r="H9" s="175" t="s">
        <v>18</v>
      </c>
      <c r="J9" s="176"/>
      <c r="K9" s="176"/>
      <c r="M9" s="239" t="s">
        <v>356</v>
      </c>
      <c r="N9" s="239" t="s">
        <v>352</v>
      </c>
      <c r="O9" s="239" t="s">
        <v>357</v>
      </c>
      <c r="P9" s="239" t="s">
        <v>358</v>
      </c>
    </row>
    <row r="10" spans="1:16">
      <c r="A10" s="24"/>
      <c r="C10" s="168"/>
      <c r="D10" s="25"/>
      <c r="F10" s="25"/>
      <c r="G10" s="25"/>
    </row>
    <row r="11" spans="1:16" s="43" customFormat="1">
      <c r="A11" s="42" t="s">
        <v>335</v>
      </c>
      <c r="B11" s="177" t="s">
        <v>190</v>
      </c>
      <c r="C11" s="28"/>
      <c r="D11" s="28"/>
      <c r="E11" s="28"/>
      <c r="F11" s="288"/>
      <c r="G11" s="28"/>
      <c r="H11" s="178"/>
      <c r="J11" s="136"/>
      <c r="K11" s="136"/>
    </row>
    <row r="12" spans="1:16" s="43" customFormat="1">
      <c r="A12" s="130" t="s">
        <v>62</v>
      </c>
      <c r="B12" s="116" t="s">
        <v>191</v>
      </c>
      <c r="C12" s="273">
        <f>'[9]Sch B'!E10</f>
        <v>923864</v>
      </c>
      <c r="D12" s="273">
        <f>'[9]Sch B'!G10</f>
        <v>0</v>
      </c>
      <c r="E12" s="259">
        <f>SUM(C12:D12)</f>
        <v>923864</v>
      </c>
      <c r="F12" s="180"/>
      <c r="G12" s="180">
        <f>IF(ISERROR(E12+F12)," ",(E12+F12))</f>
        <v>923864</v>
      </c>
      <c r="H12" s="181">
        <f t="shared" ref="H12:H17" si="0">IF(ISERROR(G12/$G$17),"",(G12/$G$17))</f>
        <v>0.99926990640740954</v>
      </c>
      <c r="J12" s="246" t="s">
        <v>346</v>
      </c>
      <c r="K12" s="247">
        <f>G17</f>
        <v>924539</v>
      </c>
      <c r="M12" s="237">
        <f>IFERROR(G12/G$194,0)</f>
        <v>158.98537256926519</v>
      </c>
      <c r="N12" s="241">
        <f>SUMMARY!M12</f>
        <v>175.72544969335937</v>
      </c>
    </row>
    <row r="13" spans="1:16" s="43" customFormat="1">
      <c r="A13" s="130" t="s">
        <v>64</v>
      </c>
      <c r="B13" s="116" t="s">
        <v>192</v>
      </c>
      <c r="C13" s="273">
        <f>'[9]Sch B'!E15</f>
        <v>0</v>
      </c>
      <c r="D13" s="273">
        <f>'[9]Sch B'!G15</f>
        <v>0</v>
      </c>
      <c r="E13" s="259">
        <f t="shared" ref="E13:E16" si="1">SUM(C13:D13)</f>
        <v>0</v>
      </c>
      <c r="F13" s="183"/>
      <c r="G13" s="183">
        <f>IF(ISERROR(E13+F13),"",(E13+F13))</f>
        <v>0</v>
      </c>
      <c r="H13" s="184">
        <f t="shared" si="0"/>
        <v>0</v>
      </c>
      <c r="J13" s="248" t="s">
        <v>347</v>
      </c>
      <c r="K13" s="249">
        <f>G183</f>
        <v>858356</v>
      </c>
      <c r="M13" s="237">
        <f>IFERROR(G13/G$195,0)</f>
        <v>0</v>
      </c>
      <c r="N13" s="241">
        <f>SUMMARY!M13</f>
        <v>205.77846790890268</v>
      </c>
    </row>
    <row r="14" spans="1:16" s="43" customFormat="1">
      <c r="A14" s="130" t="s">
        <v>66</v>
      </c>
      <c r="B14" s="116" t="s">
        <v>193</v>
      </c>
      <c r="C14" s="273">
        <f>'[9]Sch B'!E20</f>
        <v>0</v>
      </c>
      <c r="D14" s="273">
        <f>'[9]Sch B'!G20</f>
        <v>0</v>
      </c>
      <c r="E14" s="259">
        <f t="shared" si="1"/>
        <v>0</v>
      </c>
      <c r="F14" s="183"/>
      <c r="G14" s="183">
        <f>IF(ISERROR(E14+F14),"",(E14+F14))</f>
        <v>0</v>
      </c>
      <c r="H14" s="184">
        <f t="shared" si="0"/>
        <v>0</v>
      </c>
      <c r="J14" s="248" t="s">
        <v>348</v>
      </c>
      <c r="K14" s="249">
        <f>G198</f>
        <v>5811</v>
      </c>
      <c r="M14" s="237">
        <f>IFERROR(G14/G$196,0)</f>
        <v>0</v>
      </c>
      <c r="N14" s="241">
        <f>SUMMARY!M14</f>
        <v>182.90163934426229</v>
      </c>
    </row>
    <row r="15" spans="1:16" s="43" customFormat="1">
      <c r="A15" s="130" t="s">
        <v>68</v>
      </c>
      <c r="B15" s="185" t="s">
        <v>194</v>
      </c>
      <c r="C15" s="273">
        <f>'[9]Sch B'!E25</f>
        <v>0</v>
      </c>
      <c r="D15" s="273">
        <f>'[9]Sch B'!G25</f>
        <v>0</v>
      </c>
      <c r="E15" s="259">
        <f t="shared" si="1"/>
        <v>0</v>
      </c>
      <c r="F15" s="183"/>
      <c r="G15" s="183">
        <f>IF(ISERROR(E15+F15),"",(E15+F15))</f>
        <v>0</v>
      </c>
      <c r="H15" s="184">
        <f t="shared" si="0"/>
        <v>0</v>
      </c>
      <c r="J15" s="248" t="s">
        <v>349</v>
      </c>
      <c r="K15" s="249">
        <f>G201</f>
        <v>16</v>
      </c>
      <c r="M15" s="237">
        <f>IFERROR(G15/G$197,0)</f>
        <v>0</v>
      </c>
      <c r="N15" s="241">
        <f>SUMMARY!M15</f>
        <v>176.69696969696969</v>
      </c>
    </row>
    <row r="16" spans="1:16" s="43" customFormat="1">
      <c r="A16" s="130" t="s">
        <v>145</v>
      </c>
      <c r="B16" s="118" t="s">
        <v>195</v>
      </c>
      <c r="C16" s="273">
        <f>'[9]Sch B'!E40</f>
        <v>675</v>
      </c>
      <c r="D16" s="273">
        <f>'[9]Sch B'!G40</f>
        <v>0</v>
      </c>
      <c r="E16" s="259">
        <f t="shared" si="1"/>
        <v>675</v>
      </c>
      <c r="F16" s="183"/>
      <c r="G16" s="183">
        <f>IF(ISERROR(E16+F16),"",(E16+F16))</f>
        <v>675</v>
      </c>
      <c r="H16" s="184">
        <f t="shared" si="0"/>
        <v>7.3009359259046944E-4</v>
      </c>
      <c r="J16" s="248" t="s">
        <v>350</v>
      </c>
      <c r="K16" s="249">
        <f>G205</f>
        <v>5856</v>
      </c>
      <c r="M16" s="244" t="s">
        <v>196</v>
      </c>
      <c r="N16" s="242" t="str">
        <f>SUMMARY!M16</f>
        <v>n/a</v>
      </c>
    </row>
    <row r="17" spans="1:14" s="43" customFormat="1">
      <c r="A17" s="42"/>
      <c r="B17" s="185" t="s">
        <v>91</v>
      </c>
      <c r="C17" s="273">
        <f>SUM(C12:C16)</f>
        <v>924539</v>
      </c>
      <c r="D17" s="273">
        <f>SUM(D12:D16)</f>
        <v>0</v>
      </c>
      <c r="E17" s="183">
        <f>SUM(E12:E16)</f>
        <v>924539</v>
      </c>
      <c r="F17" s="183">
        <f>SUM(F12:F16)</f>
        <v>0</v>
      </c>
      <c r="G17" s="183">
        <f>IF(ISERROR(E17+F17),"",(E17+F17))</f>
        <v>924539</v>
      </c>
      <c r="H17" s="184">
        <f t="shared" si="0"/>
        <v>1</v>
      </c>
      <c r="J17" s="248"/>
      <c r="K17" s="249"/>
      <c r="M17" s="237">
        <f>IFERROR(G17/G$198,0)</f>
        <v>159.10153157804166</v>
      </c>
      <c r="N17" s="241">
        <f>SUMMARY!M17</f>
        <v>177.04679867926177</v>
      </c>
    </row>
    <row r="18" spans="1:14" s="43" customFormat="1">
      <c r="A18" s="42"/>
      <c r="B18" s="185"/>
      <c r="C18" s="28"/>
      <c r="D18" s="28"/>
      <c r="E18" s="28"/>
      <c r="F18" s="28"/>
      <c r="G18" s="28"/>
      <c r="H18" s="186"/>
      <c r="J18" s="248" t="s">
        <v>188</v>
      </c>
      <c r="K18" s="249">
        <f>J183</f>
        <v>26518</v>
      </c>
    </row>
    <row r="19" spans="1:14">
      <c r="A19" s="31" t="s">
        <v>336</v>
      </c>
      <c r="B19" s="187" t="s">
        <v>157</v>
      </c>
      <c r="C19" s="168"/>
      <c r="D19" s="25"/>
      <c r="F19" s="25"/>
      <c r="G19" s="25"/>
      <c r="J19" s="250" t="s">
        <v>309</v>
      </c>
      <c r="K19" s="251">
        <f>K183</f>
        <v>27483</v>
      </c>
    </row>
    <row r="20" spans="1:14">
      <c r="A20" s="188" t="s">
        <v>197</v>
      </c>
      <c r="B20" s="164" t="s">
        <v>19</v>
      </c>
    </row>
    <row r="21" spans="1:14" s="43" customFormat="1">
      <c r="A21" s="130" t="s">
        <v>198</v>
      </c>
      <c r="B21" s="116" t="s">
        <v>20</v>
      </c>
      <c r="C21" s="273">
        <f>'[9]Sch C'!D10</f>
        <v>66082</v>
      </c>
      <c r="D21" s="273">
        <f>'[9]Sch C'!F10</f>
        <v>2781</v>
      </c>
      <c r="E21" s="259">
        <f t="shared" ref="E21:E56" si="2">SUM(C21:D21)</f>
        <v>68863</v>
      </c>
      <c r="F21" s="180"/>
      <c r="G21" s="180">
        <f t="shared" ref="G21:G57" si="3">IF(ISERROR(E21+F21),"",(E21+F21))</f>
        <v>68863</v>
      </c>
      <c r="H21" s="181">
        <f>IF(ISERROR(G21/$G$183),"",(G21/$G$183))</f>
        <v>8.0226619258209883E-2</v>
      </c>
      <c r="J21" s="261">
        <v>2154</v>
      </c>
      <c r="K21" s="261">
        <v>2154</v>
      </c>
      <c r="M21" s="237">
        <f>IFERROR(G21/G$198,0)</f>
        <v>11.850456031664086</v>
      </c>
      <c r="N21" s="243">
        <f>SUMMARY!M21</f>
        <v>5.0324987026823482</v>
      </c>
    </row>
    <row r="22" spans="1:14" s="43" customFormat="1">
      <c r="A22" s="130" t="s">
        <v>199</v>
      </c>
      <c r="B22" s="116" t="s">
        <v>200</v>
      </c>
      <c r="C22" s="273">
        <f>'[9]Sch C'!D11</f>
        <v>0</v>
      </c>
      <c r="D22" s="273">
        <f>'[9]Sch C'!F11</f>
        <v>0</v>
      </c>
      <c r="E22" s="259">
        <f t="shared" si="2"/>
        <v>0</v>
      </c>
      <c r="F22" s="183"/>
      <c r="G22" s="183">
        <f t="shared" si="3"/>
        <v>0</v>
      </c>
      <c r="H22" s="181">
        <f t="shared" ref="H22:H57" si="4">IF(ISERROR(G22/$G$183),"",(G22/$G$183))</f>
        <v>0</v>
      </c>
      <c r="J22" s="189">
        <v>0</v>
      </c>
      <c r="K22" s="189">
        <v>0</v>
      </c>
      <c r="M22" s="237">
        <f t="shared" ref="M22:M57" si="5">IFERROR(G22/G$198,0)</f>
        <v>0</v>
      </c>
      <c r="N22" s="243">
        <f>SUMMARY!M22</f>
        <v>0.60865666775350502</v>
      </c>
    </row>
    <row r="23" spans="1:14" s="43" customFormat="1">
      <c r="A23" s="130" t="s">
        <v>201</v>
      </c>
      <c r="B23" s="116" t="s">
        <v>22</v>
      </c>
      <c r="C23" s="273">
        <f>'[9]Sch C'!D12</f>
        <v>21600</v>
      </c>
      <c r="D23" s="273">
        <f>'[9]Sch C'!F12</f>
        <v>7158</v>
      </c>
      <c r="E23" s="259">
        <f t="shared" si="2"/>
        <v>28758</v>
      </c>
      <c r="F23" s="183"/>
      <c r="G23" s="183">
        <f t="shared" si="3"/>
        <v>28758</v>
      </c>
      <c r="H23" s="181">
        <f t="shared" si="4"/>
        <v>3.3503581264650098E-2</v>
      </c>
      <c r="J23" s="189">
        <v>2080</v>
      </c>
      <c r="K23" s="189">
        <v>2080</v>
      </c>
      <c r="M23" s="237">
        <f t="shared" si="5"/>
        <v>4.9488900361383585</v>
      </c>
      <c r="N23" s="243">
        <f>SUMMARY!M23</f>
        <v>3.2588294750570594</v>
      </c>
    </row>
    <row r="24" spans="1:14" s="43" customFormat="1">
      <c r="A24" s="130" t="s">
        <v>202</v>
      </c>
      <c r="B24" s="116" t="s">
        <v>23</v>
      </c>
      <c r="C24" s="273">
        <f>'[9]Sch C'!D13</f>
        <v>97582</v>
      </c>
      <c r="D24" s="273">
        <f>'[9]Sch C'!F13</f>
        <v>-53412</v>
      </c>
      <c r="E24" s="259">
        <f t="shared" si="2"/>
        <v>44170</v>
      </c>
      <c r="F24" s="183"/>
      <c r="G24" s="183">
        <f t="shared" si="3"/>
        <v>44170</v>
      </c>
      <c r="H24" s="181">
        <f t="shared" si="4"/>
        <v>5.1458835261826097E-2</v>
      </c>
      <c r="J24" s="136"/>
      <c r="K24" s="136"/>
      <c r="M24" s="237">
        <f t="shared" si="5"/>
        <v>7.6011013594906212</v>
      </c>
      <c r="N24" s="243">
        <f>SUMMARY!M24</f>
        <v>2.3112480884655833</v>
      </c>
    </row>
    <row r="25" spans="1:14" s="43" customFormat="1">
      <c r="A25" s="130" t="s">
        <v>164</v>
      </c>
      <c r="B25" s="116" t="s">
        <v>163</v>
      </c>
      <c r="C25" s="273">
        <f>'[9]Sch C'!D14</f>
        <v>0</v>
      </c>
      <c r="D25" s="273">
        <f>'[9]Sch C'!F14</f>
        <v>0</v>
      </c>
      <c r="E25" s="259">
        <f t="shared" si="2"/>
        <v>0</v>
      </c>
      <c r="F25" s="183"/>
      <c r="G25" s="183">
        <f t="shared" si="3"/>
        <v>0</v>
      </c>
      <c r="H25" s="181">
        <f t="shared" si="4"/>
        <v>0</v>
      </c>
      <c r="J25" s="136"/>
      <c r="K25" s="136"/>
      <c r="M25" s="237">
        <f t="shared" si="5"/>
        <v>0</v>
      </c>
      <c r="N25" s="243">
        <f>SUMMARY!M25</f>
        <v>9.7778716642863375E-2</v>
      </c>
    </row>
    <row r="26" spans="1:14" s="43" customFormat="1">
      <c r="A26" s="130" t="s">
        <v>203</v>
      </c>
      <c r="B26" s="116" t="s">
        <v>24</v>
      </c>
      <c r="C26" s="273">
        <f>'[9]Sch C'!D15</f>
        <v>0</v>
      </c>
      <c r="D26" s="273">
        <f>'[9]Sch C'!F15</f>
        <v>0</v>
      </c>
      <c r="E26" s="259">
        <f t="shared" si="2"/>
        <v>0</v>
      </c>
      <c r="F26" s="183"/>
      <c r="G26" s="183">
        <f t="shared" si="3"/>
        <v>0</v>
      </c>
      <c r="H26" s="181">
        <f t="shared" si="4"/>
        <v>0</v>
      </c>
      <c r="J26" s="136"/>
      <c r="K26" s="136"/>
      <c r="M26" s="237">
        <f t="shared" si="5"/>
        <v>0</v>
      </c>
      <c r="N26" s="243">
        <f>SUMMARY!M26</f>
        <v>3.5113038846053168</v>
      </c>
    </row>
    <row r="27" spans="1:14" s="43" customFormat="1">
      <c r="A27" s="130" t="s">
        <v>204</v>
      </c>
      <c r="B27" s="116" t="s">
        <v>165</v>
      </c>
      <c r="C27" s="273">
        <f>'[9]Sch C'!D16</f>
        <v>0</v>
      </c>
      <c r="D27" s="273">
        <f>'[9]Sch C'!F16</f>
        <v>0</v>
      </c>
      <c r="E27" s="259">
        <f t="shared" si="2"/>
        <v>0</v>
      </c>
      <c r="F27" s="183"/>
      <c r="G27" s="183">
        <f t="shared" si="3"/>
        <v>0</v>
      </c>
      <c r="H27" s="181">
        <f t="shared" si="4"/>
        <v>0</v>
      </c>
      <c r="J27" s="136"/>
      <c r="K27" s="136"/>
      <c r="M27" s="237">
        <f t="shared" si="5"/>
        <v>0</v>
      </c>
      <c r="N27" s="243">
        <f>SUMMARY!M27</f>
        <v>9.1957567839380587</v>
      </c>
    </row>
    <row r="28" spans="1:14" s="43" customFormat="1">
      <c r="A28" s="130" t="s">
        <v>205</v>
      </c>
      <c r="B28" s="116" t="s">
        <v>25</v>
      </c>
      <c r="C28" s="273">
        <f>'[9]Sch C'!D17</f>
        <v>225</v>
      </c>
      <c r="D28" s="273">
        <f>'[9]Sch C'!F17</f>
        <v>165</v>
      </c>
      <c r="E28" s="259">
        <f t="shared" si="2"/>
        <v>390</v>
      </c>
      <c r="F28" s="183"/>
      <c r="G28" s="183">
        <f t="shared" si="3"/>
        <v>390</v>
      </c>
      <c r="H28" s="181">
        <f t="shared" si="4"/>
        <v>4.54356933486805E-4</v>
      </c>
      <c r="J28" s="136"/>
      <c r="K28" s="136"/>
      <c r="M28" s="237">
        <f t="shared" si="5"/>
        <v>6.7114093959731544E-2</v>
      </c>
      <c r="N28" s="243">
        <f>SUMMARY!M28</f>
        <v>5.4909830682825352E-2</v>
      </c>
    </row>
    <row r="29" spans="1:14" s="43" customFormat="1">
      <c r="A29" s="130" t="s">
        <v>206</v>
      </c>
      <c r="B29" s="116" t="s">
        <v>26</v>
      </c>
      <c r="C29" s="273">
        <f>'[9]Sch C'!D18</f>
        <v>2669</v>
      </c>
      <c r="D29" s="273">
        <f>'[9]Sch C'!F18</f>
        <v>926</v>
      </c>
      <c r="E29" s="259">
        <f t="shared" si="2"/>
        <v>3595</v>
      </c>
      <c r="F29" s="183"/>
      <c r="G29" s="183">
        <f t="shared" si="3"/>
        <v>3595</v>
      </c>
      <c r="H29" s="181">
        <f t="shared" si="4"/>
        <v>4.1882389125258053E-3</v>
      </c>
      <c r="J29" s="136"/>
      <c r="K29" s="136"/>
      <c r="M29" s="237">
        <f t="shared" si="5"/>
        <v>0.61865427637239723</v>
      </c>
      <c r="N29" s="243">
        <f>SUMMARY!M29</f>
        <v>0.72841281795763158</v>
      </c>
    </row>
    <row r="30" spans="1:14" s="43" customFormat="1">
      <c r="A30" s="130" t="s">
        <v>207</v>
      </c>
      <c r="B30" s="116" t="s">
        <v>208</v>
      </c>
      <c r="C30" s="273">
        <f>'[9]Sch C'!D19</f>
        <v>1274</v>
      </c>
      <c r="D30" s="273">
        <f>'[9]Sch C'!F19</f>
        <v>185</v>
      </c>
      <c r="E30" s="259">
        <f t="shared" si="2"/>
        <v>1459</v>
      </c>
      <c r="F30" s="183"/>
      <c r="G30" s="183">
        <f t="shared" si="3"/>
        <v>1459</v>
      </c>
      <c r="H30" s="181">
        <f t="shared" si="4"/>
        <v>1.6997609383519192E-3</v>
      </c>
      <c r="J30" s="136"/>
      <c r="K30" s="136"/>
      <c r="M30" s="237">
        <f t="shared" si="5"/>
        <v>0.2510755463775598</v>
      </c>
      <c r="N30" s="243">
        <f>SUMMARY!M30</f>
        <v>0.44657944405920363</v>
      </c>
    </row>
    <row r="31" spans="1:14" s="43" customFormat="1">
      <c r="A31" s="130" t="s">
        <v>209</v>
      </c>
      <c r="B31" s="116" t="s">
        <v>210</v>
      </c>
      <c r="C31" s="273">
        <f>'[9]Sch C'!D20</f>
        <v>650</v>
      </c>
      <c r="D31" s="273">
        <f>'[9]Sch C'!F20</f>
        <v>978</v>
      </c>
      <c r="E31" s="259">
        <f t="shared" si="2"/>
        <v>1628</v>
      </c>
      <c r="F31" s="183"/>
      <c r="G31" s="183">
        <f t="shared" si="3"/>
        <v>1628</v>
      </c>
      <c r="H31" s="181">
        <f t="shared" si="4"/>
        <v>1.896648942862868E-3</v>
      </c>
      <c r="J31" s="136"/>
      <c r="K31" s="136"/>
      <c r="M31" s="237">
        <f t="shared" si="5"/>
        <v>0.2801583204267768</v>
      </c>
      <c r="N31" s="243">
        <f>SUMMARY!M31</f>
        <v>0.39401158171723533</v>
      </c>
    </row>
    <row r="32" spans="1:14" s="43" customFormat="1">
      <c r="A32" s="130" t="s">
        <v>211</v>
      </c>
      <c r="B32" s="116" t="s">
        <v>29</v>
      </c>
      <c r="C32" s="273">
        <f>'[9]Sch C'!D21</f>
        <v>0</v>
      </c>
      <c r="D32" s="273">
        <f>'[9]Sch C'!F21</f>
        <v>2189</v>
      </c>
      <c r="E32" s="259">
        <f t="shared" si="2"/>
        <v>2189</v>
      </c>
      <c r="F32" s="183"/>
      <c r="G32" s="183">
        <f t="shared" si="3"/>
        <v>2189</v>
      </c>
      <c r="H32" s="181">
        <f t="shared" si="4"/>
        <v>2.5502239164169643E-3</v>
      </c>
      <c r="J32" s="136"/>
      <c r="K32" s="136"/>
      <c r="M32" s="237">
        <f t="shared" si="5"/>
        <v>0.37669936327654446</v>
      </c>
      <c r="N32" s="243">
        <f>SUMMARY!M32</f>
        <v>0.61606285905849179</v>
      </c>
    </row>
    <row r="33" spans="1:14" s="43" customFormat="1">
      <c r="A33" s="42">
        <v>130</v>
      </c>
      <c r="B33" s="116" t="s">
        <v>166</v>
      </c>
      <c r="C33" s="273">
        <f>'[9]Sch C'!D22</f>
        <v>0</v>
      </c>
      <c r="D33" s="273">
        <f>'[9]Sch C'!F22</f>
        <v>0</v>
      </c>
      <c r="E33" s="259">
        <f t="shared" si="2"/>
        <v>0</v>
      </c>
      <c r="F33" s="183"/>
      <c r="G33" s="183">
        <f t="shared" si="3"/>
        <v>0</v>
      </c>
      <c r="H33" s="181">
        <f t="shared" si="4"/>
        <v>0</v>
      </c>
      <c r="J33" s="136"/>
      <c r="K33" s="136"/>
      <c r="M33" s="237">
        <f t="shared" si="5"/>
        <v>0</v>
      </c>
      <c r="N33" s="243">
        <f>SUMMARY!M33</f>
        <v>3.4074679574020582E-3</v>
      </c>
    </row>
    <row r="34" spans="1:14" s="43" customFormat="1">
      <c r="A34" s="42">
        <v>140</v>
      </c>
      <c r="B34" s="116" t="s">
        <v>212</v>
      </c>
      <c r="C34" s="273">
        <f>'[9]Sch C'!D23</f>
        <v>125</v>
      </c>
      <c r="D34" s="273">
        <f>'[9]Sch C'!F23</f>
        <v>1328</v>
      </c>
      <c r="E34" s="259">
        <f t="shared" si="2"/>
        <v>1453</v>
      </c>
      <c r="F34" s="183"/>
      <c r="G34" s="183">
        <f t="shared" si="3"/>
        <v>1453</v>
      </c>
      <c r="H34" s="181">
        <f t="shared" si="4"/>
        <v>1.6927708316828915E-3</v>
      </c>
      <c r="J34" s="136"/>
      <c r="K34" s="136"/>
      <c r="M34" s="237">
        <f t="shared" si="5"/>
        <v>0.25004302185510241</v>
      </c>
      <c r="N34" s="243">
        <f>SUMMARY!M34</f>
        <v>0.5534150452109462</v>
      </c>
    </row>
    <row r="35" spans="1:14" s="43" customFormat="1">
      <c r="A35" s="42">
        <v>150</v>
      </c>
      <c r="B35" s="116" t="s">
        <v>31</v>
      </c>
      <c r="C35" s="273">
        <f>'[9]Sch C'!D24</f>
        <v>1743</v>
      </c>
      <c r="D35" s="273">
        <f>'[9]Sch C'!F24</f>
        <v>2792</v>
      </c>
      <c r="E35" s="259">
        <f t="shared" si="2"/>
        <v>4535</v>
      </c>
      <c r="F35" s="183"/>
      <c r="G35" s="183">
        <f t="shared" si="3"/>
        <v>4535</v>
      </c>
      <c r="H35" s="181">
        <f t="shared" si="4"/>
        <v>5.2833556240068228E-3</v>
      </c>
      <c r="J35" s="136"/>
      <c r="K35" s="136"/>
      <c r="M35" s="237">
        <f t="shared" si="5"/>
        <v>0.78041645155739114</v>
      </c>
      <c r="N35" s="243">
        <f>SUMMARY!M35</f>
        <v>0.25066932406306114</v>
      </c>
    </row>
    <row r="36" spans="1:14" s="43" customFormat="1">
      <c r="A36" s="42">
        <v>160</v>
      </c>
      <c r="B36" s="116" t="s">
        <v>32</v>
      </c>
      <c r="C36" s="273">
        <f>'[9]Sch C'!D25</f>
        <v>0</v>
      </c>
      <c r="D36" s="273">
        <f>'[9]Sch C'!F25</f>
        <v>0</v>
      </c>
      <c r="E36" s="259">
        <f t="shared" si="2"/>
        <v>0</v>
      </c>
      <c r="F36" s="183"/>
      <c r="G36" s="183">
        <f t="shared" si="3"/>
        <v>0</v>
      </c>
      <c r="H36" s="181">
        <f t="shared" si="4"/>
        <v>0</v>
      </c>
      <c r="J36" s="136"/>
      <c r="K36" s="136"/>
      <c r="M36" s="237">
        <f t="shared" si="5"/>
        <v>0</v>
      </c>
      <c r="N36" s="243">
        <f>SUMMARY!M36</f>
        <v>0.28009313133446917</v>
      </c>
    </row>
    <row r="37" spans="1:14" s="43" customFormat="1">
      <c r="A37" s="42">
        <v>170</v>
      </c>
      <c r="B37" s="116" t="s">
        <v>33</v>
      </c>
      <c r="C37" s="273">
        <f>'[9]Sch C'!D26</f>
        <v>48958</v>
      </c>
      <c r="D37" s="273">
        <f>'[9]Sch C'!F26</f>
        <v>0</v>
      </c>
      <c r="E37" s="259">
        <f t="shared" si="2"/>
        <v>48958</v>
      </c>
      <c r="F37" s="183"/>
      <c r="G37" s="183">
        <f t="shared" si="3"/>
        <v>48958</v>
      </c>
      <c r="H37" s="181">
        <f t="shared" si="4"/>
        <v>5.7036940383710252E-2</v>
      </c>
      <c r="J37" s="136"/>
      <c r="K37" s="136"/>
      <c r="M37" s="237">
        <f t="shared" si="5"/>
        <v>8.4250559284116324</v>
      </c>
      <c r="N37" s="243">
        <f>SUMMARY!M37</f>
        <v>7.7000928557979771</v>
      </c>
    </row>
    <row r="38" spans="1:14" s="43" customFormat="1">
      <c r="A38" s="42">
        <v>180</v>
      </c>
      <c r="B38" s="116" t="s">
        <v>213</v>
      </c>
      <c r="C38" s="273">
        <f>'[9]Sch C'!D27</f>
        <v>0</v>
      </c>
      <c r="D38" s="273">
        <f>'[9]Sch C'!F27</f>
        <v>181</v>
      </c>
      <c r="E38" s="259">
        <f t="shared" si="2"/>
        <v>181</v>
      </c>
      <c r="F38" s="183"/>
      <c r="G38" s="183">
        <f t="shared" si="3"/>
        <v>181</v>
      </c>
      <c r="H38" s="181">
        <f t="shared" si="4"/>
        <v>2.1086821784900437E-4</v>
      </c>
      <c r="J38" s="136"/>
      <c r="K38" s="136"/>
      <c r="M38" s="237">
        <f t="shared" si="5"/>
        <v>3.1147823094131818E-2</v>
      </c>
      <c r="N38" s="243">
        <f>SUMMARY!M38</f>
        <v>3.4102233223271813E-2</v>
      </c>
    </row>
    <row r="39" spans="1:14" s="43" customFormat="1">
      <c r="A39" s="42">
        <v>190</v>
      </c>
      <c r="B39" s="116" t="s">
        <v>35</v>
      </c>
      <c r="C39" s="273">
        <f>'[9]Sch C'!D28</f>
        <v>-2028</v>
      </c>
      <c r="D39" s="273">
        <f>'[9]Sch C'!F28</f>
        <v>2028</v>
      </c>
      <c r="E39" s="259">
        <f t="shared" si="2"/>
        <v>0</v>
      </c>
      <c r="F39" s="183"/>
      <c r="G39" s="183">
        <f t="shared" si="3"/>
        <v>0</v>
      </c>
      <c r="H39" s="181">
        <f t="shared" si="4"/>
        <v>0</v>
      </c>
      <c r="J39" s="136"/>
      <c r="K39" s="136"/>
      <c r="M39" s="237">
        <f t="shared" si="5"/>
        <v>0</v>
      </c>
      <c r="N39" s="243">
        <f>SUMMARY!M39</f>
        <v>0</v>
      </c>
    </row>
    <row r="40" spans="1:14" s="43" customFormat="1">
      <c r="A40" s="42">
        <v>200</v>
      </c>
      <c r="B40" s="116" t="s">
        <v>36</v>
      </c>
      <c r="C40" s="273">
        <f>'[9]Sch C'!D29</f>
        <v>0</v>
      </c>
      <c r="D40" s="273">
        <f>'[9]Sch C'!F29</f>
        <v>0</v>
      </c>
      <c r="E40" s="259">
        <f t="shared" si="2"/>
        <v>0</v>
      </c>
      <c r="F40" s="183"/>
      <c r="G40" s="183">
        <f t="shared" si="3"/>
        <v>0</v>
      </c>
      <c r="H40" s="181">
        <f t="shared" si="4"/>
        <v>0</v>
      </c>
      <c r="J40" s="136"/>
      <c r="K40" s="136"/>
      <c r="M40" s="237">
        <f t="shared" si="5"/>
        <v>0</v>
      </c>
      <c r="N40" s="243">
        <f>SUMMARY!M40</f>
        <v>0</v>
      </c>
    </row>
    <row r="41" spans="1:14" s="43" customFormat="1">
      <c r="A41" s="42">
        <v>210</v>
      </c>
      <c r="B41" s="116" t="s">
        <v>37</v>
      </c>
      <c r="C41" s="273">
        <f>'[9]Sch C'!D30</f>
        <v>0</v>
      </c>
      <c r="D41" s="273">
        <f>'[9]Sch C'!F30</f>
        <v>0</v>
      </c>
      <c r="E41" s="259">
        <f t="shared" si="2"/>
        <v>0</v>
      </c>
      <c r="F41" s="183"/>
      <c r="G41" s="183">
        <f t="shared" si="3"/>
        <v>0</v>
      </c>
      <c r="H41" s="181">
        <f t="shared" si="4"/>
        <v>0</v>
      </c>
      <c r="J41" s="136"/>
      <c r="K41" s="136"/>
      <c r="M41" s="237">
        <f t="shared" si="5"/>
        <v>0</v>
      </c>
      <c r="N41" s="243">
        <f>SUMMARY!M41</f>
        <v>0</v>
      </c>
    </row>
    <row r="42" spans="1:14" s="43" customFormat="1">
      <c r="A42" s="42">
        <v>220</v>
      </c>
      <c r="B42" s="116" t="s">
        <v>214</v>
      </c>
      <c r="C42" s="273">
        <f>'[9]Sch C'!D31</f>
        <v>-13</v>
      </c>
      <c r="D42" s="273">
        <f>'[9]Sch C'!F31</f>
        <v>4644</v>
      </c>
      <c r="E42" s="259">
        <f t="shared" si="2"/>
        <v>4631</v>
      </c>
      <c r="F42" s="183"/>
      <c r="G42" s="183">
        <f t="shared" si="3"/>
        <v>4631</v>
      </c>
      <c r="H42" s="181">
        <f t="shared" si="4"/>
        <v>5.3951973307112665E-3</v>
      </c>
      <c r="J42" s="136"/>
      <c r="K42" s="136"/>
      <c r="M42" s="237">
        <f t="shared" si="5"/>
        <v>0.79693684391670971</v>
      </c>
      <c r="N42" s="243">
        <f>SUMMARY!M42</f>
        <v>1.4224438709203377</v>
      </c>
    </row>
    <row r="43" spans="1:14" s="43" customFormat="1">
      <c r="A43" s="42">
        <v>230</v>
      </c>
      <c r="B43" s="116" t="s">
        <v>148</v>
      </c>
      <c r="C43" s="273">
        <f>'[9]Sch C'!D32</f>
        <v>0</v>
      </c>
      <c r="D43" s="273">
        <f>'[9]Sch C'!F32</f>
        <v>10255</v>
      </c>
      <c r="E43" s="259">
        <f t="shared" si="2"/>
        <v>10255</v>
      </c>
      <c r="F43" s="183"/>
      <c r="G43" s="183">
        <f t="shared" si="3"/>
        <v>10255</v>
      </c>
      <c r="H43" s="181">
        <f t="shared" si="4"/>
        <v>1.1947257315146629E-2</v>
      </c>
      <c r="J43" s="136"/>
      <c r="K43" s="136"/>
      <c r="M43" s="237">
        <f t="shared" si="5"/>
        <v>1.7647564963001205</v>
      </c>
      <c r="N43" s="243">
        <f>SUMMARY!M43</f>
        <v>1.0304343373576967</v>
      </c>
    </row>
    <row r="44" spans="1:14" s="43" customFormat="1">
      <c r="A44" s="42">
        <v>240</v>
      </c>
      <c r="B44" s="116" t="s">
        <v>167</v>
      </c>
      <c r="C44" s="273">
        <f>'[9]Sch C'!D33</f>
        <v>0</v>
      </c>
      <c r="D44" s="273">
        <f>'[9]Sch C'!F33</f>
        <v>0</v>
      </c>
      <c r="E44" s="259">
        <f t="shared" si="2"/>
        <v>0</v>
      </c>
      <c r="F44" s="183"/>
      <c r="G44" s="183">
        <f t="shared" si="3"/>
        <v>0</v>
      </c>
      <c r="H44" s="181">
        <f t="shared" si="4"/>
        <v>0</v>
      </c>
      <c r="J44" s="136"/>
      <c r="K44" s="136"/>
      <c r="M44" s="237">
        <f t="shared" si="5"/>
        <v>0</v>
      </c>
      <c r="N44" s="243">
        <f>SUMMARY!M44</f>
        <v>0</v>
      </c>
    </row>
    <row r="45" spans="1:14" s="43" customFormat="1">
      <c r="A45" s="42">
        <v>250</v>
      </c>
      <c r="B45" s="116" t="s">
        <v>168</v>
      </c>
      <c r="C45" s="273">
        <f>'[9]Sch C'!D34</f>
        <v>0</v>
      </c>
      <c r="D45" s="273">
        <f>'[9]Sch C'!F34</f>
        <v>2130</v>
      </c>
      <c r="E45" s="259">
        <f t="shared" si="2"/>
        <v>2130</v>
      </c>
      <c r="F45" s="183"/>
      <c r="G45" s="183">
        <f t="shared" si="3"/>
        <v>2130</v>
      </c>
      <c r="H45" s="181">
        <f t="shared" si="4"/>
        <v>2.481487867504858E-3</v>
      </c>
      <c r="J45" s="136"/>
      <c r="K45" s="136"/>
      <c r="M45" s="237">
        <f t="shared" si="5"/>
        <v>0.36654620547237998</v>
      </c>
      <c r="N45" s="243">
        <f>SUMMARY!M45</f>
        <v>0.88866029565065652</v>
      </c>
    </row>
    <row r="46" spans="1:14" s="43" customFormat="1">
      <c r="A46" s="42">
        <v>270</v>
      </c>
      <c r="B46" s="116" t="s">
        <v>215</v>
      </c>
      <c r="C46" s="273">
        <f>'[9]Sch C'!D35</f>
        <v>0</v>
      </c>
      <c r="D46" s="273">
        <f>'[9]Sch C'!F35</f>
        <v>0</v>
      </c>
      <c r="E46" s="259">
        <f t="shared" si="2"/>
        <v>0</v>
      </c>
      <c r="F46" s="183"/>
      <c r="G46" s="183">
        <f t="shared" si="3"/>
        <v>0</v>
      </c>
      <c r="H46" s="181">
        <f t="shared" si="4"/>
        <v>0</v>
      </c>
      <c r="J46" s="136"/>
      <c r="K46" s="136"/>
      <c r="M46" s="237">
        <f t="shared" si="5"/>
        <v>0</v>
      </c>
      <c r="N46" s="243">
        <f>SUMMARY!M46</f>
        <v>0</v>
      </c>
    </row>
    <row r="47" spans="1:14" s="43" customFormat="1">
      <c r="A47" s="42">
        <v>280</v>
      </c>
      <c r="B47" s="116" t="s">
        <v>216</v>
      </c>
      <c r="C47" s="273">
        <f>'[9]Sch C'!D36</f>
        <v>0</v>
      </c>
      <c r="D47" s="273">
        <f>'[9]Sch C'!F36</f>
        <v>0</v>
      </c>
      <c r="E47" s="259">
        <f t="shared" si="2"/>
        <v>0</v>
      </c>
      <c r="F47" s="183"/>
      <c r="G47" s="183">
        <f t="shared" si="3"/>
        <v>0</v>
      </c>
      <c r="H47" s="181">
        <f t="shared" si="4"/>
        <v>0</v>
      </c>
      <c r="J47" s="261">
        <v>0</v>
      </c>
      <c r="K47" s="261">
        <v>0</v>
      </c>
      <c r="M47" s="237">
        <f t="shared" si="5"/>
        <v>0</v>
      </c>
      <c r="N47" s="243">
        <f>SUMMARY!M47</f>
        <v>0.16190336016752618</v>
      </c>
    </row>
    <row r="48" spans="1:14" s="43" customFormat="1">
      <c r="A48" s="42">
        <v>290</v>
      </c>
      <c r="B48" s="116" t="s">
        <v>170</v>
      </c>
      <c r="C48" s="273">
        <f>'[9]Sch C'!D37</f>
        <v>0</v>
      </c>
      <c r="D48" s="273">
        <f>'[9]Sch C'!F37</f>
        <v>0</v>
      </c>
      <c r="E48" s="259">
        <f t="shared" si="2"/>
        <v>0</v>
      </c>
      <c r="F48" s="183"/>
      <c r="G48" s="183">
        <f t="shared" si="3"/>
        <v>0</v>
      </c>
      <c r="H48" s="181">
        <f t="shared" si="4"/>
        <v>0</v>
      </c>
      <c r="J48" s="136"/>
      <c r="K48" s="136"/>
      <c r="M48" s="237">
        <f t="shared" si="5"/>
        <v>0</v>
      </c>
      <c r="N48" s="243">
        <f>SUMMARY!M48</f>
        <v>0</v>
      </c>
    </row>
    <row r="49" spans="1:16" s="43" customFormat="1">
      <c r="A49" s="42">
        <v>300</v>
      </c>
      <c r="B49" s="116" t="s">
        <v>171</v>
      </c>
      <c r="C49" s="273">
        <f>'[9]Sch C'!D38</f>
        <v>0</v>
      </c>
      <c r="D49" s="273">
        <f>'[9]Sch C'!F38</f>
        <v>0</v>
      </c>
      <c r="E49" s="259">
        <f t="shared" si="2"/>
        <v>0</v>
      </c>
      <c r="F49" s="183"/>
      <c r="G49" s="183">
        <f t="shared" si="3"/>
        <v>0</v>
      </c>
      <c r="H49" s="181">
        <f t="shared" si="4"/>
        <v>0</v>
      </c>
      <c r="J49" s="136"/>
      <c r="K49" s="136"/>
      <c r="M49" s="237">
        <f t="shared" si="5"/>
        <v>0</v>
      </c>
      <c r="N49" s="243">
        <f>SUMMARY!M49</f>
        <v>9.4141634941701067E-4</v>
      </c>
    </row>
    <row r="50" spans="1:16" s="43" customFormat="1">
      <c r="A50" s="42">
        <v>310</v>
      </c>
      <c r="B50" s="116" t="s">
        <v>172</v>
      </c>
      <c r="C50" s="273">
        <f>'[9]Sch C'!D39</f>
        <v>0</v>
      </c>
      <c r="D50" s="273">
        <f>'[9]Sch C'!F39</f>
        <v>0</v>
      </c>
      <c r="E50" s="259">
        <f t="shared" si="2"/>
        <v>0</v>
      </c>
      <c r="F50" s="183"/>
      <c r="G50" s="183">
        <f t="shared" si="3"/>
        <v>0</v>
      </c>
      <c r="H50" s="181">
        <f t="shared" si="4"/>
        <v>0</v>
      </c>
      <c r="J50" s="136"/>
      <c r="K50" s="136"/>
      <c r="M50" s="237">
        <f t="shared" si="5"/>
        <v>0</v>
      </c>
      <c r="N50" s="243">
        <f>SUMMARY!M50</f>
        <v>9.7190905458837143E-2</v>
      </c>
    </row>
    <row r="51" spans="1:16" s="43" customFormat="1">
      <c r="A51" s="42">
        <v>320</v>
      </c>
      <c r="B51" s="116" t="s">
        <v>173</v>
      </c>
      <c r="C51" s="273">
        <f>'[9]Sch C'!D40</f>
        <v>0</v>
      </c>
      <c r="D51" s="273">
        <f>'[9]Sch C'!F40</f>
        <v>0</v>
      </c>
      <c r="E51" s="259">
        <f t="shared" si="2"/>
        <v>0</v>
      </c>
      <c r="F51" s="183"/>
      <c r="G51" s="183">
        <f t="shared" si="3"/>
        <v>0</v>
      </c>
      <c r="H51" s="181">
        <f t="shared" si="4"/>
        <v>0</v>
      </c>
      <c r="J51" s="136"/>
      <c r="K51" s="136"/>
      <c r="M51" s="237">
        <f t="shared" si="5"/>
        <v>0</v>
      </c>
      <c r="N51" s="243">
        <f>SUMMARY!M51</f>
        <v>3.4442061564036977E-3</v>
      </c>
    </row>
    <row r="52" spans="1:16" s="43" customFormat="1">
      <c r="A52" s="42">
        <v>330</v>
      </c>
      <c r="B52" s="116" t="s">
        <v>44</v>
      </c>
      <c r="C52" s="273">
        <f>'[9]Sch C'!D41</f>
        <v>0</v>
      </c>
      <c r="D52" s="273">
        <f>'[9]Sch C'!F41</f>
        <v>0</v>
      </c>
      <c r="E52" s="259">
        <f t="shared" si="2"/>
        <v>0</v>
      </c>
      <c r="F52" s="183"/>
      <c r="G52" s="183">
        <f t="shared" si="3"/>
        <v>0</v>
      </c>
      <c r="H52" s="181">
        <f t="shared" si="4"/>
        <v>0</v>
      </c>
      <c r="J52" s="136"/>
      <c r="K52" s="136"/>
      <c r="M52" s="237">
        <f t="shared" si="5"/>
        <v>0</v>
      </c>
      <c r="N52" s="243">
        <f>SUMMARY!M52</f>
        <v>0.42680143462667103</v>
      </c>
    </row>
    <row r="53" spans="1:16" s="43" customFormat="1">
      <c r="A53" s="42">
        <v>340</v>
      </c>
      <c r="B53" s="116" t="s">
        <v>174</v>
      </c>
      <c r="C53" s="273">
        <f>'[9]Sch C'!D42</f>
        <v>329</v>
      </c>
      <c r="D53" s="273">
        <f>'[9]Sch C'!F42</f>
        <v>0</v>
      </c>
      <c r="E53" s="259">
        <f t="shared" si="2"/>
        <v>329</v>
      </c>
      <c r="F53" s="183"/>
      <c r="G53" s="183">
        <f t="shared" si="3"/>
        <v>329</v>
      </c>
      <c r="H53" s="181">
        <f t="shared" si="4"/>
        <v>3.83290849018356E-4</v>
      </c>
      <c r="J53" s="136"/>
      <c r="K53" s="136"/>
      <c r="M53" s="237">
        <f t="shared" si="5"/>
        <v>5.6616761314747889E-2</v>
      </c>
      <c r="N53" s="243">
        <f>SUMMARY!M53</f>
        <v>3.9943606864532487E-2</v>
      </c>
    </row>
    <row r="54" spans="1:16" s="43" customFormat="1">
      <c r="A54" s="42">
        <v>350</v>
      </c>
      <c r="B54" s="116" t="s">
        <v>175</v>
      </c>
      <c r="C54" s="273">
        <f>'[9]Sch C'!D43</f>
        <v>0</v>
      </c>
      <c r="D54" s="273">
        <f>'[9]Sch C'!F43</f>
        <v>0</v>
      </c>
      <c r="E54" s="259">
        <f t="shared" si="2"/>
        <v>0</v>
      </c>
      <c r="F54" s="183"/>
      <c r="G54" s="183">
        <f t="shared" si="3"/>
        <v>0</v>
      </c>
      <c r="H54" s="181">
        <f t="shared" si="4"/>
        <v>0</v>
      </c>
      <c r="J54" s="136"/>
      <c r="K54" s="136"/>
      <c r="M54" s="237">
        <f t="shared" si="5"/>
        <v>0</v>
      </c>
      <c r="N54" s="243">
        <f>SUMMARY!M54</f>
        <v>8.5402535854186085E-2</v>
      </c>
    </row>
    <row r="55" spans="1:16" s="43" customFormat="1">
      <c r="A55" s="42">
        <v>360</v>
      </c>
      <c r="B55" s="116" t="s">
        <v>176</v>
      </c>
      <c r="C55" s="273">
        <f>'[9]Sch C'!D44</f>
        <v>0</v>
      </c>
      <c r="D55" s="273">
        <f>'[9]Sch C'!F44</f>
        <v>0</v>
      </c>
      <c r="E55" s="259">
        <f t="shared" si="2"/>
        <v>0</v>
      </c>
      <c r="F55" s="183"/>
      <c r="G55" s="183">
        <f t="shared" si="3"/>
        <v>0</v>
      </c>
      <c r="H55" s="181">
        <f t="shared" si="4"/>
        <v>0</v>
      </c>
      <c r="J55" s="136"/>
      <c r="K55" s="136"/>
      <c r="M55" s="237">
        <f t="shared" si="5"/>
        <v>0</v>
      </c>
      <c r="N55" s="243">
        <f>SUMMARY!M55</f>
        <v>4.1330473876844374E-4</v>
      </c>
    </row>
    <row r="56" spans="1:16" s="43" customFormat="1">
      <c r="A56" s="42">
        <v>490</v>
      </c>
      <c r="B56" s="116" t="s">
        <v>301</v>
      </c>
      <c r="C56" s="273">
        <f>'[9]Sch C'!D45</f>
        <v>2969</v>
      </c>
      <c r="D56" s="273">
        <f>'[9]Sch C'!F45</f>
        <v>-675</v>
      </c>
      <c r="E56" s="259">
        <f t="shared" si="2"/>
        <v>2294</v>
      </c>
      <c r="F56" s="183"/>
      <c r="G56" s="183">
        <f t="shared" si="3"/>
        <v>2294</v>
      </c>
      <c r="H56" s="181">
        <f t="shared" si="4"/>
        <v>2.6725507831249504E-3</v>
      </c>
      <c r="J56" s="136"/>
      <c r="K56" s="136"/>
      <c r="M56" s="237">
        <f t="shared" si="5"/>
        <v>0.39476854241954912</v>
      </c>
      <c r="N56" s="243">
        <f>SUMMARY!M56</f>
        <v>0.43754276555977534</v>
      </c>
    </row>
    <row r="57" spans="1:16" s="43" customFormat="1">
      <c r="A57" s="42"/>
      <c r="B57" s="116" t="s">
        <v>217</v>
      </c>
      <c r="C57" s="273">
        <f>SUM(C21:C56)</f>
        <v>242165</v>
      </c>
      <c r="D57" s="273">
        <f>SUM(D21:D56)</f>
        <v>-16347</v>
      </c>
      <c r="E57" s="183">
        <f>SUM(E21:E56)</f>
        <v>225818</v>
      </c>
      <c r="F57" s="183">
        <f>SUM(F21:F56)</f>
        <v>0</v>
      </c>
      <c r="G57" s="183">
        <f t="shared" si="3"/>
        <v>225818</v>
      </c>
      <c r="H57" s="181">
        <f t="shared" si="4"/>
        <v>0.26308198463108545</v>
      </c>
      <c r="J57" s="136"/>
      <c r="K57" s="136"/>
      <c r="M57" s="237">
        <f t="shared" si="5"/>
        <v>38.86043710204784</v>
      </c>
      <c r="N57" s="243">
        <f>SUMMARY!M57</f>
        <v>39.672950949912064</v>
      </c>
      <c r="O57" s="238">
        <f>M57/N57-1</f>
        <v>-2.0480297744678522E-2</v>
      </c>
      <c r="P57" s="178">
        <f>IF(O57&gt;=0.2,2.1,0)</f>
        <v>0</v>
      </c>
    </row>
    <row r="58" spans="1:16" s="43" customFormat="1">
      <c r="A58" s="42"/>
      <c r="C58" s="28"/>
      <c r="D58" s="28"/>
      <c r="E58" s="28"/>
      <c r="F58" s="28"/>
      <c r="G58" s="28"/>
      <c r="H58" s="190"/>
      <c r="J58" s="136"/>
      <c r="K58" s="136"/>
    </row>
    <row r="59" spans="1:16" s="43" customFormat="1">
      <c r="A59" s="130" t="s">
        <v>218</v>
      </c>
      <c r="B59" s="116" t="s">
        <v>38</v>
      </c>
      <c r="C59" s="28"/>
      <c r="D59" s="28"/>
      <c r="E59" s="28"/>
      <c r="F59" s="288"/>
      <c r="G59" s="28"/>
      <c r="H59" s="190"/>
      <c r="J59" s="136"/>
      <c r="K59" s="136"/>
    </row>
    <row r="60" spans="1:16" s="43" customFormat="1">
      <c r="A60" s="191">
        <v>230</v>
      </c>
      <c r="B60" s="192" t="s">
        <v>261</v>
      </c>
      <c r="C60" s="273">
        <f>'[9]Sch C'!D57</f>
        <v>100100</v>
      </c>
      <c r="D60" s="273">
        <f>'[9]Sch C'!F57</f>
        <v>-100100</v>
      </c>
      <c r="E60" s="259">
        <f t="shared" ref="E60:E76" si="6">SUM(C60:D60)</f>
        <v>0</v>
      </c>
      <c r="F60" s="179"/>
      <c r="G60" s="179">
        <f>IF(ISERROR(E60+F60),"",(E60+F60))</f>
        <v>0</v>
      </c>
      <c r="H60" s="181">
        <f>IF(ISERROR(G60/$G$183),"",(G60/$G$183))</f>
        <v>0</v>
      </c>
      <c r="I60" s="279"/>
      <c r="J60" s="136"/>
      <c r="K60" s="136"/>
      <c r="M60" s="237">
        <f>IFERROR(G60/G$198,0)</f>
        <v>0</v>
      </c>
      <c r="N60" s="243">
        <f>SUMMARY!M60</f>
        <v>3.3864169693741188</v>
      </c>
    </row>
    <row r="61" spans="1:16" s="43" customFormat="1">
      <c r="A61" s="193">
        <v>240</v>
      </c>
      <c r="B61" s="192" t="s">
        <v>262</v>
      </c>
      <c r="C61" s="273">
        <f>'[9]Sch C'!D58</f>
        <v>6666</v>
      </c>
      <c r="D61" s="273">
        <f>'[9]Sch C'!F58</f>
        <v>15462</v>
      </c>
      <c r="E61" s="259">
        <f t="shared" si="6"/>
        <v>22128</v>
      </c>
      <c r="F61" s="179"/>
      <c r="G61" s="179">
        <f t="shared" ref="G61:G76" si="7">IF(ISERROR(E61+F61),"",(E61+F61))</f>
        <v>22128</v>
      </c>
      <c r="H61" s="181">
        <f t="shared" ref="H61:H76" si="8">IF(ISERROR(G61/$G$183),"",(G61/$G$183))</f>
        <v>2.5779513395374414E-2</v>
      </c>
      <c r="I61" s="279"/>
      <c r="J61" s="136"/>
      <c r="K61" s="136"/>
      <c r="M61" s="237">
        <f t="shared" ref="M61:M77" si="9">IFERROR(G61/G$198,0)</f>
        <v>3.8079504388229219</v>
      </c>
      <c r="N61" s="243">
        <f>SUMMARY!M61</f>
        <v>1.2033160357646366</v>
      </c>
    </row>
    <row r="62" spans="1:16" s="43" customFormat="1">
      <c r="A62" s="194">
        <v>250</v>
      </c>
      <c r="B62" s="192" t="s">
        <v>263</v>
      </c>
      <c r="C62" s="273">
        <f>'[9]Sch C'!D59</f>
        <v>0</v>
      </c>
      <c r="D62" s="273">
        <f>'[9]Sch C'!F59</f>
        <v>39199</v>
      </c>
      <c r="E62" s="259">
        <f t="shared" si="6"/>
        <v>39199</v>
      </c>
      <c r="F62" s="179"/>
      <c r="G62" s="179">
        <f t="shared" si="7"/>
        <v>39199</v>
      </c>
      <c r="H62" s="181">
        <f t="shared" si="8"/>
        <v>4.5667531886536591E-2</v>
      </c>
      <c r="I62" s="279"/>
      <c r="J62" s="289"/>
      <c r="K62" s="136"/>
      <c r="M62" s="237">
        <f t="shared" si="9"/>
        <v>6.7456547926346584</v>
      </c>
      <c r="N62" s="243">
        <f>SUMMARY!M62</f>
        <v>3.152303255463659</v>
      </c>
    </row>
    <row r="63" spans="1:16" s="43" customFormat="1">
      <c r="A63" s="194">
        <v>260</v>
      </c>
      <c r="B63" s="195" t="s">
        <v>316</v>
      </c>
      <c r="C63" s="273">
        <f>'[9]Sch C'!D60</f>
        <v>11194</v>
      </c>
      <c r="D63" s="273">
        <f>'[9]Sch C'!F60</f>
        <v>408</v>
      </c>
      <c r="E63" s="259">
        <f t="shared" si="6"/>
        <v>11602</v>
      </c>
      <c r="F63" s="179"/>
      <c r="G63" s="179">
        <f t="shared" si="7"/>
        <v>11602</v>
      </c>
      <c r="H63" s="181">
        <f t="shared" si="8"/>
        <v>1.3516536262343363E-2</v>
      </c>
      <c r="J63" s="289"/>
      <c r="K63" s="136"/>
      <c r="M63" s="237">
        <f t="shared" si="9"/>
        <v>1.9965582515918086</v>
      </c>
      <c r="N63" s="243">
        <f>SUMMARY!M63</f>
        <v>0.31096589317450185</v>
      </c>
    </row>
    <row r="64" spans="1:16" s="43" customFormat="1">
      <c r="A64" s="194">
        <v>270</v>
      </c>
      <c r="B64" s="195" t="s">
        <v>317</v>
      </c>
      <c r="C64" s="273">
        <f>'[9]Sch C'!D61</f>
        <v>0</v>
      </c>
      <c r="D64" s="273">
        <f>'[9]Sch C'!F61</f>
        <v>0</v>
      </c>
      <c r="E64" s="259">
        <f t="shared" si="6"/>
        <v>0</v>
      </c>
      <c r="F64" s="179"/>
      <c r="G64" s="179">
        <f t="shared" si="7"/>
        <v>0</v>
      </c>
      <c r="H64" s="181">
        <f t="shared" si="8"/>
        <v>0</v>
      </c>
      <c r="J64" s="136"/>
      <c r="K64" s="136"/>
      <c r="M64" s="237">
        <f t="shared" si="9"/>
        <v>0</v>
      </c>
      <c r="N64" s="243">
        <f>SUMMARY!M64</f>
        <v>0.4612005584206248</v>
      </c>
    </row>
    <row r="65" spans="1:16" s="43" customFormat="1">
      <c r="A65" s="196" t="s">
        <v>337</v>
      </c>
      <c r="B65" s="192" t="s">
        <v>338</v>
      </c>
      <c r="C65" s="273">
        <f>'[9]Sch C'!D62</f>
        <v>0</v>
      </c>
      <c r="D65" s="273">
        <f>'[9]Sch C'!F62</f>
        <v>0</v>
      </c>
      <c r="E65" s="259">
        <f t="shared" si="6"/>
        <v>0</v>
      </c>
      <c r="F65" s="179"/>
      <c r="G65" s="179">
        <f t="shared" si="7"/>
        <v>0</v>
      </c>
      <c r="H65" s="181">
        <f t="shared" si="8"/>
        <v>0</v>
      </c>
      <c r="J65" s="136"/>
      <c r="K65" s="136"/>
      <c r="M65" s="237">
        <f t="shared" si="9"/>
        <v>0</v>
      </c>
      <c r="N65" s="243">
        <f>SUMMARY!M65</f>
        <v>0</v>
      </c>
    </row>
    <row r="66" spans="1:16" s="43" customFormat="1">
      <c r="A66" s="196" t="s">
        <v>339</v>
      </c>
      <c r="B66" s="192" t="s">
        <v>340</v>
      </c>
      <c r="C66" s="273">
        <f>'[9]Sch C'!D63</f>
        <v>0</v>
      </c>
      <c r="D66" s="273">
        <f>'[9]Sch C'!F63</f>
        <v>0</v>
      </c>
      <c r="E66" s="259">
        <f t="shared" si="6"/>
        <v>0</v>
      </c>
      <c r="F66" s="179"/>
      <c r="G66" s="179">
        <f t="shared" si="7"/>
        <v>0</v>
      </c>
      <c r="H66" s="181">
        <f t="shared" si="8"/>
        <v>0</v>
      </c>
      <c r="J66" s="136"/>
      <c r="K66" s="136"/>
      <c r="M66" s="237">
        <f t="shared" si="9"/>
        <v>0</v>
      </c>
      <c r="N66" s="243">
        <f>SUMMARY!M66</f>
        <v>0</v>
      </c>
    </row>
    <row r="67" spans="1:16" s="43" customFormat="1">
      <c r="A67" s="194">
        <v>280</v>
      </c>
      <c r="B67" s="197" t="s">
        <v>266</v>
      </c>
      <c r="C67" s="273">
        <f>'[9]Sch C'!D64</f>
        <v>7545</v>
      </c>
      <c r="D67" s="273">
        <f>'[9]Sch C'!F64</f>
        <v>0</v>
      </c>
      <c r="E67" s="259">
        <f t="shared" si="6"/>
        <v>7545</v>
      </c>
      <c r="F67" s="179"/>
      <c r="G67" s="179">
        <f t="shared" si="7"/>
        <v>7545</v>
      </c>
      <c r="H67" s="181">
        <f t="shared" si="8"/>
        <v>8.7900591363024201E-3</v>
      </c>
      <c r="J67" s="136"/>
      <c r="K67" s="136"/>
      <c r="M67" s="237">
        <f t="shared" si="9"/>
        <v>1.298399586990191</v>
      </c>
      <c r="N67" s="243">
        <f>SUMMARY!M67</f>
        <v>0.28839486216286964</v>
      </c>
    </row>
    <row r="68" spans="1:16" s="43" customFormat="1">
      <c r="A68" s="194">
        <v>290</v>
      </c>
      <c r="B68" s="197" t="s">
        <v>267</v>
      </c>
      <c r="C68" s="273">
        <f>'[9]Sch C'!D65</f>
        <v>0</v>
      </c>
      <c r="D68" s="273">
        <f>'[9]Sch C'!F65</f>
        <v>0</v>
      </c>
      <c r="E68" s="259">
        <f t="shared" si="6"/>
        <v>0</v>
      </c>
      <c r="F68" s="179"/>
      <c r="G68" s="179">
        <f t="shared" si="7"/>
        <v>0</v>
      </c>
      <c r="H68" s="181">
        <f t="shared" si="8"/>
        <v>0</v>
      </c>
      <c r="J68" s="136"/>
      <c r="K68" s="136"/>
      <c r="M68" s="237">
        <f t="shared" si="9"/>
        <v>0</v>
      </c>
      <c r="N68" s="243">
        <f>SUMMARY!M68</f>
        <v>1.1802146429276671E-2</v>
      </c>
    </row>
    <row r="69" spans="1:16" s="43" customFormat="1">
      <c r="A69" s="194">
        <v>300</v>
      </c>
      <c r="B69" s="197" t="s">
        <v>269</v>
      </c>
      <c r="C69" s="273">
        <f>'[9]Sch C'!D66</f>
        <v>0</v>
      </c>
      <c r="D69" s="273">
        <f>'[9]Sch C'!F66</f>
        <v>0</v>
      </c>
      <c r="E69" s="259">
        <f t="shared" si="6"/>
        <v>0</v>
      </c>
      <c r="F69" s="179"/>
      <c r="G69" s="179">
        <f t="shared" si="7"/>
        <v>0</v>
      </c>
      <c r="H69" s="181">
        <f t="shared" si="8"/>
        <v>0</v>
      </c>
      <c r="J69" s="136"/>
      <c r="K69" s="136"/>
      <c r="M69" s="237">
        <f t="shared" si="9"/>
        <v>0</v>
      </c>
      <c r="N69" s="243">
        <f>SUMMARY!M69</f>
        <v>1.1783777329775851E-2</v>
      </c>
    </row>
    <row r="70" spans="1:16" s="43" customFormat="1">
      <c r="A70" s="194">
        <v>310</v>
      </c>
      <c r="B70" s="197" t="s">
        <v>318</v>
      </c>
      <c r="C70" s="273">
        <f>'[9]Sch C'!D67</f>
        <v>0</v>
      </c>
      <c r="D70" s="273">
        <f>'[9]Sch C'!F67</f>
        <v>0</v>
      </c>
      <c r="E70" s="259">
        <f t="shared" si="6"/>
        <v>0</v>
      </c>
      <c r="F70" s="179"/>
      <c r="G70" s="179">
        <f t="shared" si="7"/>
        <v>0</v>
      </c>
      <c r="H70" s="181">
        <f t="shared" si="8"/>
        <v>0</v>
      </c>
      <c r="J70" s="136"/>
      <c r="K70" s="136"/>
      <c r="M70" s="237">
        <f t="shared" si="9"/>
        <v>0</v>
      </c>
      <c r="N70" s="243">
        <f>SUMMARY!M70</f>
        <v>0.33929104460476589</v>
      </c>
    </row>
    <row r="71" spans="1:16" s="43" customFormat="1">
      <c r="A71" s="194">
        <v>320</v>
      </c>
      <c r="B71" s="197" t="s">
        <v>270</v>
      </c>
      <c r="C71" s="273">
        <f>'[9]Sch C'!D68</f>
        <v>0</v>
      </c>
      <c r="D71" s="273">
        <f>'[9]Sch C'!F68</f>
        <v>0</v>
      </c>
      <c r="E71" s="259">
        <f t="shared" si="6"/>
        <v>0</v>
      </c>
      <c r="F71" s="179"/>
      <c r="G71" s="179">
        <f t="shared" si="7"/>
        <v>0</v>
      </c>
      <c r="H71" s="181">
        <f t="shared" si="8"/>
        <v>0</v>
      </c>
      <c r="J71" s="136"/>
      <c r="K71" s="136"/>
      <c r="M71" s="237">
        <f t="shared" si="9"/>
        <v>0</v>
      </c>
      <c r="N71" s="243">
        <f>SUMMARY!M71</f>
        <v>7.5175539707104709E-3</v>
      </c>
    </row>
    <row r="72" spans="1:16" s="43" customFormat="1">
      <c r="A72" s="194">
        <v>330</v>
      </c>
      <c r="B72" s="197" t="s">
        <v>271</v>
      </c>
      <c r="C72" s="273">
        <f>'[9]Sch C'!D69</f>
        <v>24021</v>
      </c>
      <c r="D72" s="273">
        <f>'[9]Sch C'!F69</f>
        <v>2449</v>
      </c>
      <c r="E72" s="259">
        <f t="shared" si="6"/>
        <v>26470</v>
      </c>
      <c r="F72" s="179"/>
      <c r="G72" s="179">
        <f t="shared" si="7"/>
        <v>26470</v>
      </c>
      <c r="H72" s="181">
        <f t="shared" si="8"/>
        <v>3.0838020588194175E-2</v>
      </c>
      <c r="J72" s="136"/>
      <c r="K72" s="136"/>
      <c r="M72" s="237">
        <f t="shared" si="9"/>
        <v>4.5551540182412662</v>
      </c>
      <c r="N72" s="243">
        <f>SUMMARY!M72</f>
        <v>0.6093765068401934</v>
      </c>
    </row>
    <row r="73" spans="1:16" s="43" customFormat="1">
      <c r="A73" s="194">
        <v>340</v>
      </c>
      <c r="B73" s="197" t="s">
        <v>272</v>
      </c>
      <c r="C73" s="273">
        <f>'[9]Sch C'!D70</f>
        <v>0</v>
      </c>
      <c r="D73" s="273">
        <f>'[9]Sch C'!F70</f>
        <v>0</v>
      </c>
      <c r="E73" s="259">
        <f t="shared" si="6"/>
        <v>0</v>
      </c>
      <c r="F73" s="179"/>
      <c r="G73" s="179">
        <f t="shared" si="7"/>
        <v>0</v>
      </c>
      <c r="H73" s="181">
        <f t="shared" si="8"/>
        <v>0</v>
      </c>
      <c r="J73" s="136"/>
      <c r="K73" s="136"/>
      <c r="M73" s="237">
        <f t="shared" si="9"/>
        <v>0</v>
      </c>
      <c r="N73" s="243">
        <f>SUMMARY!M73</f>
        <v>0</v>
      </c>
    </row>
    <row r="74" spans="1:16" s="43" customFormat="1">
      <c r="A74" s="194">
        <v>350</v>
      </c>
      <c r="B74" s="43" t="s">
        <v>332</v>
      </c>
      <c r="C74" s="273">
        <f>'[9]Sch C'!D71</f>
        <v>708</v>
      </c>
      <c r="D74" s="273">
        <f>'[9]Sch C'!F71</f>
        <v>0</v>
      </c>
      <c r="E74" s="259">
        <f t="shared" si="6"/>
        <v>708</v>
      </c>
      <c r="F74" s="179"/>
      <c r="G74" s="179">
        <f t="shared" si="7"/>
        <v>708</v>
      </c>
      <c r="H74" s="181">
        <f t="shared" si="8"/>
        <v>8.2483258694527684E-4</v>
      </c>
      <c r="J74" s="136"/>
      <c r="K74" s="136"/>
      <c r="M74" s="237">
        <f t="shared" si="9"/>
        <v>0.12183789364997419</v>
      </c>
      <c r="N74" s="243">
        <f>SUMMARY!M74</f>
        <v>1.2812446901821756E-2</v>
      </c>
    </row>
    <row r="75" spans="1:16" s="43" customFormat="1">
      <c r="A75" s="194">
        <v>360</v>
      </c>
      <c r="B75" s="197" t="s">
        <v>177</v>
      </c>
      <c r="C75" s="273">
        <f>'[9]Sch C'!D72</f>
        <v>0</v>
      </c>
      <c r="D75" s="273">
        <f>'[9]Sch C'!F72</f>
        <v>0</v>
      </c>
      <c r="E75" s="259">
        <f t="shared" si="6"/>
        <v>0</v>
      </c>
      <c r="F75" s="179"/>
      <c r="G75" s="179">
        <f t="shared" si="7"/>
        <v>0</v>
      </c>
      <c r="H75" s="181">
        <f t="shared" si="8"/>
        <v>0</v>
      </c>
      <c r="J75" s="136"/>
      <c r="K75" s="136"/>
      <c r="M75" s="237">
        <f t="shared" si="9"/>
        <v>0</v>
      </c>
      <c r="N75" s="243">
        <f>SUMMARY!M75</f>
        <v>-9.1845497504098607E-4</v>
      </c>
    </row>
    <row r="76" spans="1:16" s="43" customFormat="1">
      <c r="A76" s="194">
        <v>490</v>
      </c>
      <c r="B76" s="116" t="s">
        <v>301</v>
      </c>
      <c r="C76" s="273">
        <f>'[9]Sch C'!D73</f>
        <v>0</v>
      </c>
      <c r="D76" s="273">
        <f>'[9]Sch C'!F73</f>
        <v>0</v>
      </c>
      <c r="E76" s="259">
        <f t="shared" si="6"/>
        <v>0</v>
      </c>
      <c r="F76" s="179"/>
      <c r="G76" s="179">
        <f t="shared" si="7"/>
        <v>0</v>
      </c>
      <c r="H76" s="181">
        <f t="shared" si="8"/>
        <v>0</v>
      </c>
      <c r="J76" s="136"/>
      <c r="K76" s="136"/>
      <c r="M76" s="237">
        <f t="shared" si="9"/>
        <v>0</v>
      </c>
      <c r="N76" s="243">
        <f>SUMMARY!M76</f>
        <v>3.1778542136418116E-3</v>
      </c>
    </row>
    <row r="77" spans="1:16" s="43" customFormat="1">
      <c r="A77" s="42"/>
      <c r="B77" s="116" t="s">
        <v>219</v>
      </c>
      <c r="C77" s="273">
        <f>SUM(C60:C76)</f>
        <v>150234</v>
      </c>
      <c r="D77" s="273">
        <f>SUM(D60:D76)</f>
        <v>-42582</v>
      </c>
      <c r="E77" s="182">
        <f>SUM(E60:E76)</f>
        <v>107652</v>
      </c>
      <c r="F77" s="182">
        <f>SUM(F60:F76)</f>
        <v>0</v>
      </c>
      <c r="G77" s="183">
        <f>IF(ISERROR(E77+F77),"",(E77+F77))</f>
        <v>107652</v>
      </c>
      <c r="H77" s="181">
        <f>IF(ISERROR(G77/$G$183),"",(G77/$G$183))</f>
        <v>0.12541649385569623</v>
      </c>
      <c r="J77" s="136"/>
      <c r="K77" s="136"/>
      <c r="M77" s="237">
        <f t="shared" si="9"/>
        <v>18.525554981930821</v>
      </c>
      <c r="N77" s="243">
        <f>SUMMARY!M77</f>
        <v>9.7974404496755554</v>
      </c>
      <c r="O77" s="238"/>
      <c r="P77" s="178"/>
    </row>
    <row r="78" spans="1:16" s="43" customFormat="1">
      <c r="A78" s="42"/>
      <c r="B78" s="116"/>
      <c r="C78" s="28"/>
      <c r="D78" s="28"/>
      <c r="E78" s="28"/>
      <c r="F78" s="28"/>
      <c r="G78" s="28"/>
      <c r="H78" s="198"/>
      <c r="J78" s="136"/>
      <c r="K78" s="136"/>
    </row>
    <row r="79" spans="1:16" s="43" customFormat="1">
      <c r="A79" s="130" t="s">
        <v>220</v>
      </c>
      <c r="B79" s="116" t="s">
        <v>39</v>
      </c>
      <c r="C79" s="28"/>
      <c r="D79" s="28"/>
      <c r="E79" s="28"/>
      <c r="F79" s="28"/>
      <c r="G79" s="28"/>
      <c r="H79" s="186"/>
      <c r="J79" s="136"/>
      <c r="K79" s="136"/>
    </row>
    <row r="80" spans="1:16" s="43" customFormat="1">
      <c r="A80" s="130" t="s">
        <v>201</v>
      </c>
      <c r="B80" s="116" t="s">
        <v>40</v>
      </c>
      <c r="C80" s="273">
        <f>'[9]Sch C'!D78</f>
        <v>12300</v>
      </c>
      <c r="D80" s="273">
        <f>'[9]Sch C'!F78</f>
        <v>0</v>
      </c>
      <c r="E80" s="259">
        <f t="shared" ref="E80:E91" si="10">SUM(C80:D80)</f>
        <v>12300</v>
      </c>
      <c r="F80" s="180"/>
      <c r="G80" s="180">
        <f>IF(ISERROR(E80+F80),"",(E80+F80))</f>
        <v>12300</v>
      </c>
      <c r="H80" s="181">
        <f t="shared" ref="H80:H92" si="11">IF(ISERROR(G80/$G$183),"",(G80/$G$183))</f>
        <v>1.4329718671506926E-2</v>
      </c>
      <c r="J80" s="261">
        <v>820</v>
      </c>
      <c r="K80" s="261">
        <v>820</v>
      </c>
      <c r="M80" s="237">
        <f t="shared" ref="M80:M92" si="12">IFERROR(G80/G$198,0)</f>
        <v>2.1166752710376873</v>
      </c>
      <c r="N80" s="243">
        <f>SUMMARY!M80</f>
        <v>2.9575259578337318</v>
      </c>
    </row>
    <row r="81" spans="1:16" s="43" customFormat="1">
      <c r="A81" s="130" t="s">
        <v>202</v>
      </c>
      <c r="B81" s="116" t="s">
        <v>23</v>
      </c>
      <c r="C81" s="273">
        <f>'[9]Sch C'!D79</f>
        <v>0</v>
      </c>
      <c r="D81" s="273">
        <f>'[9]Sch C'!F79</f>
        <v>3547</v>
      </c>
      <c r="E81" s="259">
        <f t="shared" si="10"/>
        <v>3547</v>
      </c>
      <c r="F81" s="183"/>
      <c r="G81" s="183">
        <f>IF(ISERROR(E81+F81),"",(E81+F81))</f>
        <v>3547</v>
      </c>
      <c r="H81" s="181">
        <f t="shared" si="11"/>
        <v>4.132318059173583E-3</v>
      </c>
      <c r="J81" s="136"/>
      <c r="K81" s="136"/>
      <c r="M81" s="237">
        <f t="shared" si="12"/>
        <v>0.61039408019273789</v>
      </c>
      <c r="N81" s="243">
        <f>SUMMARY!M81</f>
        <v>0.49679877110724341</v>
      </c>
    </row>
    <row r="82" spans="1:16" s="43" customFormat="1">
      <c r="A82" s="130" t="s">
        <v>209</v>
      </c>
      <c r="B82" s="116" t="s">
        <v>43</v>
      </c>
      <c r="C82" s="273">
        <f>'[9]Sch C'!D80</f>
        <v>689</v>
      </c>
      <c r="D82" s="273">
        <f>'[9]Sch C'!F80</f>
        <v>39</v>
      </c>
      <c r="E82" s="259">
        <f t="shared" si="10"/>
        <v>728</v>
      </c>
      <c r="F82" s="183"/>
      <c r="G82" s="183">
        <f>IF(ISERROR(E82+F82),"",(E82+F82))</f>
        <v>728</v>
      </c>
      <c r="H82" s="181">
        <f t="shared" si="11"/>
        <v>8.4813294250870273E-4</v>
      </c>
      <c r="J82" s="136"/>
      <c r="K82" s="136"/>
      <c r="M82" s="237">
        <f t="shared" si="12"/>
        <v>0.12527964205816555</v>
      </c>
      <c r="N82" s="243">
        <f>SUMMARY!M82</f>
        <v>0.36571958651157022</v>
      </c>
    </row>
    <row r="83" spans="1:16" s="43" customFormat="1">
      <c r="A83" s="42">
        <v>230</v>
      </c>
      <c r="B83" s="116" t="s">
        <v>42</v>
      </c>
      <c r="C83" s="273">
        <f>'[9]Sch C'!D81</f>
        <v>0</v>
      </c>
      <c r="D83" s="273">
        <f>'[9]Sch C'!F81</f>
        <v>0</v>
      </c>
      <c r="E83" s="259">
        <f t="shared" si="10"/>
        <v>0</v>
      </c>
      <c r="F83" s="183"/>
      <c r="G83" s="183">
        <f>IF(ISERROR(E83+F83),"",(E83+F83))</f>
        <v>0</v>
      </c>
      <c r="H83" s="181">
        <f t="shared" si="11"/>
        <v>0</v>
      </c>
      <c r="J83" s="136"/>
      <c r="K83" s="136"/>
      <c r="M83" s="237">
        <f t="shared" si="12"/>
        <v>0</v>
      </c>
      <c r="N83" s="243">
        <f>SUMMARY!M83</f>
        <v>0.32083469188131725</v>
      </c>
    </row>
    <row r="84" spans="1:16" s="43" customFormat="1">
      <c r="A84" s="42">
        <v>240</v>
      </c>
      <c r="B84" s="199" t="s">
        <v>274</v>
      </c>
      <c r="C84" s="273">
        <f>'[9]Sch C'!D82</f>
        <v>0</v>
      </c>
      <c r="D84" s="273">
        <f>'[9]Sch C'!F82</f>
        <v>0</v>
      </c>
      <c r="E84" s="259">
        <f t="shared" si="10"/>
        <v>0</v>
      </c>
      <c r="F84" s="183"/>
      <c r="G84" s="183">
        <f t="shared" ref="G84:G91" si="13">IF(ISERROR(E84+F84),"",(E84+F84))</f>
        <v>0</v>
      </c>
      <c r="H84" s="181">
        <f t="shared" si="11"/>
        <v>0</v>
      </c>
      <c r="J84" s="136"/>
      <c r="K84" s="136"/>
      <c r="M84" s="237">
        <f t="shared" si="12"/>
        <v>0</v>
      </c>
      <c r="N84" s="243">
        <f>SUMMARY!M84</f>
        <v>6.9931161799620681E-2</v>
      </c>
    </row>
    <row r="85" spans="1:16" s="43" customFormat="1">
      <c r="A85" s="42">
        <v>310</v>
      </c>
      <c r="B85" s="116" t="s">
        <v>44</v>
      </c>
      <c r="C85" s="273">
        <f>'[9]Sch C'!D83</f>
        <v>9803</v>
      </c>
      <c r="D85" s="273">
        <f>'[9]Sch C'!F83</f>
        <v>1274</v>
      </c>
      <c r="E85" s="259">
        <f t="shared" si="10"/>
        <v>11077</v>
      </c>
      <c r="F85" s="183"/>
      <c r="G85" s="183">
        <f t="shared" si="13"/>
        <v>11077</v>
      </c>
      <c r="H85" s="181">
        <f t="shared" si="11"/>
        <v>1.2904901928803433E-2</v>
      </c>
      <c r="J85" s="136"/>
      <c r="K85" s="136"/>
      <c r="M85" s="237">
        <f t="shared" si="12"/>
        <v>1.9062123558767854</v>
      </c>
      <c r="N85" s="243">
        <f>SUMMARY!M85</f>
        <v>0.66275251771470034</v>
      </c>
    </row>
    <row r="86" spans="1:16" s="43" customFormat="1">
      <c r="A86" s="42">
        <v>320</v>
      </c>
      <c r="B86" s="116" t="s">
        <v>45</v>
      </c>
      <c r="C86" s="273">
        <f>'[9]Sch C'!D84</f>
        <v>1355</v>
      </c>
      <c r="D86" s="273">
        <f>'[9]Sch C'!F84</f>
        <v>146</v>
      </c>
      <c r="E86" s="259">
        <f t="shared" si="10"/>
        <v>1501</v>
      </c>
      <c r="F86" s="183"/>
      <c r="G86" s="183">
        <f t="shared" si="13"/>
        <v>1501</v>
      </c>
      <c r="H86" s="181">
        <f t="shared" si="11"/>
        <v>1.7486916850351136E-3</v>
      </c>
      <c r="J86" s="136"/>
      <c r="K86" s="136"/>
      <c r="M86" s="237">
        <f t="shared" si="12"/>
        <v>0.25830321803476164</v>
      </c>
      <c r="N86" s="243">
        <f>SUMMARY!M86</f>
        <v>1.2604049467984955</v>
      </c>
    </row>
    <row r="87" spans="1:16" s="43" customFormat="1">
      <c r="A87" s="42">
        <v>330</v>
      </c>
      <c r="B87" s="116" t="s">
        <v>46</v>
      </c>
      <c r="C87" s="273">
        <f>'[9]Sch C'!D85</f>
        <v>0</v>
      </c>
      <c r="D87" s="273">
        <f>'[9]Sch C'!F85</f>
        <v>0</v>
      </c>
      <c r="E87" s="259">
        <f t="shared" si="10"/>
        <v>0</v>
      </c>
      <c r="F87" s="183"/>
      <c r="G87" s="183">
        <f t="shared" si="13"/>
        <v>0</v>
      </c>
      <c r="H87" s="181">
        <f t="shared" si="11"/>
        <v>0</v>
      </c>
      <c r="J87" s="136"/>
      <c r="K87" s="136"/>
      <c r="M87" s="237">
        <f t="shared" si="12"/>
        <v>0</v>
      </c>
      <c r="N87" s="243">
        <f>SUMMARY!M87</f>
        <v>0.38501173326230614</v>
      </c>
    </row>
    <row r="88" spans="1:16" s="43" customFormat="1">
      <c r="A88" s="42">
        <v>340</v>
      </c>
      <c r="B88" s="116" t="s">
        <v>221</v>
      </c>
      <c r="C88" s="273">
        <f>'[9]Sch C'!D86</f>
        <v>8247</v>
      </c>
      <c r="D88" s="273">
        <f>'[9]Sch C'!F86</f>
        <v>1705</v>
      </c>
      <c r="E88" s="259">
        <f t="shared" si="10"/>
        <v>9952</v>
      </c>
      <c r="F88" s="183"/>
      <c r="G88" s="183">
        <f t="shared" si="13"/>
        <v>9952</v>
      </c>
      <c r="H88" s="181">
        <f t="shared" si="11"/>
        <v>1.1594256928360728E-2</v>
      </c>
      <c r="J88" s="136"/>
      <c r="K88" s="136"/>
      <c r="M88" s="237">
        <f t="shared" si="12"/>
        <v>1.7126140079160213</v>
      </c>
      <c r="N88" s="243">
        <f>SUMMARY!M88</f>
        <v>0.77976368153492193</v>
      </c>
    </row>
    <row r="89" spans="1:16" s="43" customFormat="1">
      <c r="A89" s="42">
        <v>350</v>
      </c>
      <c r="B89" s="116" t="s">
        <v>48</v>
      </c>
      <c r="C89" s="273">
        <f>'[9]Sch C'!D87</f>
        <v>17773</v>
      </c>
      <c r="D89" s="273">
        <f>'[9]Sch C'!F87</f>
        <v>393</v>
      </c>
      <c r="E89" s="259">
        <f t="shared" si="10"/>
        <v>18166</v>
      </c>
      <c r="F89" s="183"/>
      <c r="G89" s="183">
        <f t="shared" si="13"/>
        <v>18166</v>
      </c>
      <c r="H89" s="181">
        <f t="shared" si="11"/>
        <v>2.1163712958259744E-2</v>
      </c>
      <c r="J89" s="136"/>
      <c r="K89" s="136"/>
      <c r="M89" s="237">
        <f t="shared" si="12"/>
        <v>3.1261400791602134</v>
      </c>
      <c r="N89" s="243">
        <f>SUMMARY!M89</f>
        <v>2.4211055901762055</v>
      </c>
    </row>
    <row r="90" spans="1:16" s="43" customFormat="1">
      <c r="A90" s="42">
        <v>360</v>
      </c>
      <c r="B90" s="116" t="s">
        <v>178</v>
      </c>
      <c r="C90" s="273">
        <f>'[9]Sch C'!D88</f>
        <v>0</v>
      </c>
      <c r="D90" s="273">
        <f>'[9]Sch C'!F88</f>
        <v>0</v>
      </c>
      <c r="E90" s="259">
        <f t="shared" si="10"/>
        <v>0</v>
      </c>
      <c r="F90" s="183"/>
      <c r="G90" s="183">
        <f t="shared" si="13"/>
        <v>0</v>
      </c>
      <c r="H90" s="181">
        <f t="shared" si="11"/>
        <v>0</v>
      </c>
      <c r="J90" s="136"/>
      <c r="K90" s="136"/>
      <c r="M90" s="237">
        <f t="shared" si="12"/>
        <v>0</v>
      </c>
      <c r="N90" s="243">
        <f>SUMMARY!M90</f>
        <v>5.5649186937733346E-2</v>
      </c>
    </row>
    <row r="91" spans="1:16" s="43" customFormat="1">
      <c r="A91" s="42">
        <v>490</v>
      </c>
      <c r="B91" s="116" t="s">
        <v>301</v>
      </c>
      <c r="C91" s="273">
        <f>'[9]Sch C'!D89</f>
        <v>0</v>
      </c>
      <c r="D91" s="273">
        <f>'[9]Sch C'!F89</f>
        <v>0</v>
      </c>
      <c r="E91" s="259">
        <f t="shared" si="10"/>
        <v>0</v>
      </c>
      <c r="F91" s="183"/>
      <c r="G91" s="183">
        <f t="shared" si="13"/>
        <v>0</v>
      </c>
      <c r="H91" s="181">
        <f t="shared" si="11"/>
        <v>0</v>
      </c>
      <c r="J91" s="136"/>
      <c r="K91" s="136"/>
      <c r="M91" s="237">
        <f t="shared" si="12"/>
        <v>0</v>
      </c>
      <c r="N91" s="243">
        <f>SUMMARY!M91</f>
        <v>0.58864238577864314</v>
      </c>
    </row>
    <row r="92" spans="1:16" s="43" customFormat="1">
      <c r="A92" s="42"/>
      <c r="B92" s="116" t="s">
        <v>49</v>
      </c>
      <c r="C92" s="273">
        <f>SUM(C80:C91)</f>
        <v>50167</v>
      </c>
      <c r="D92" s="273">
        <f>SUM(D80:D91)</f>
        <v>7104</v>
      </c>
      <c r="E92" s="183">
        <f>SUM(E80:E91)</f>
        <v>57271</v>
      </c>
      <c r="F92" s="183">
        <f>SUM(F80:F91)</f>
        <v>0</v>
      </c>
      <c r="G92" s="183">
        <f>IF(ISERROR(E92+F92),"",(E92+F92))</f>
        <v>57271</v>
      </c>
      <c r="H92" s="181">
        <f t="shared" si="11"/>
        <v>6.6721733173648226E-2</v>
      </c>
      <c r="J92" s="136"/>
      <c r="K92" s="136"/>
      <c r="M92" s="237">
        <f t="shared" si="12"/>
        <v>9.8556186542763715</v>
      </c>
      <c r="N92" s="243">
        <f>SUMMARY!M92</f>
        <v>10.36414021133649</v>
      </c>
      <c r="O92" s="238">
        <f>M92/N92-1</f>
        <v>-4.9065484129970471E-2</v>
      </c>
      <c r="P92" s="178">
        <f>IF(O92&gt;=0.2,0.6,0)</f>
        <v>0</v>
      </c>
    </row>
    <row r="93" spans="1:16" s="43" customFormat="1">
      <c r="A93" s="42"/>
      <c r="C93" s="28"/>
      <c r="D93" s="28"/>
      <c r="E93" s="28"/>
      <c r="F93" s="28"/>
      <c r="G93" s="28"/>
      <c r="H93" s="186"/>
      <c r="J93" s="136"/>
      <c r="K93" s="136"/>
    </row>
    <row r="94" spans="1:16" s="43" customFormat="1">
      <c r="A94" s="130" t="s">
        <v>222</v>
      </c>
      <c r="B94" s="116" t="s">
        <v>50</v>
      </c>
      <c r="C94" s="28"/>
      <c r="D94" s="28"/>
      <c r="E94" s="28"/>
      <c r="F94" s="28"/>
      <c r="G94" s="28"/>
      <c r="H94" s="186"/>
      <c r="J94" s="136"/>
      <c r="K94" s="136"/>
    </row>
    <row r="95" spans="1:16" s="43" customFormat="1">
      <c r="A95" s="130" t="s">
        <v>201</v>
      </c>
      <c r="B95" s="116" t="s">
        <v>40</v>
      </c>
      <c r="C95" s="273">
        <f>'[9]Sch C'!D93</f>
        <v>1800</v>
      </c>
      <c r="D95" s="273">
        <f>'[9]Sch C'!F93</f>
        <v>0</v>
      </c>
      <c r="E95" s="259">
        <f t="shared" ref="E95:E100" si="14">SUM(C95:D95)</f>
        <v>1800</v>
      </c>
      <c r="F95" s="180"/>
      <c r="G95" s="180">
        <f t="shared" ref="G95:G101" si="15">IF(ISERROR(E95+F95),"",(E95+F95))</f>
        <v>1800</v>
      </c>
      <c r="H95" s="181">
        <f t="shared" ref="H95:H101" si="16">IF(ISERROR(G95/$G$183),"",(G95/$G$183))</f>
        <v>2.0970320007083309E-3</v>
      </c>
      <c r="J95" s="261">
        <v>248</v>
      </c>
      <c r="K95" s="261">
        <v>248</v>
      </c>
      <c r="M95" s="237">
        <f t="shared" ref="M95:M101" si="17">IFERROR(G95/G$198,0)</f>
        <v>0.30975735673722249</v>
      </c>
      <c r="N95" s="243">
        <f>SUMMARY!M95</f>
        <v>4.7279181840308233</v>
      </c>
    </row>
    <row r="96" spans="1:16" s="43" customFormat="1">
      <c r="A96" s="130" t="s">
        <v>202</v>
      </c>
      <c r="B96" s="116" t="s">
        <v>23</v>
      </c>
      <c r="C96" s="273">
        <f>'[9]Sch C'!D94</f>
        <v>0</v>
      </c>
      <c r="D96" s="273">
        <f>'[9]Sch C'!F94</f>
        <v>519</v>
      </c>
      <c r="E96" s="259">
        <f t="shared" si="14"/>
        <v>519</v>
      </c>
      <c r="F96" s="183"/>
      <c r="G96" s="183">
        <f t="shared" si="15"/>
        <v>519</v>
      </c>
      <c r="H96" s="181">
        <f t="shared" si="16"/>
        <v>6.0464422687090205E-4</v>
      </c>
      <c r="J96" s="136"/>
      <c r="K96" s="136"/>
      <c r="M96" s="237">
        <f t="shared" si="17"/>
        <v>8.9313371192565827E-2</v>
      </c>
      <c r="N96" s="243">
        <f>SUMMARY!M96</f>
        <v>0.73437349890015013</v>
      </c>
    </row>
    <row r="97" spans="1:16" s="43" customFormat="1">
      <c r="A97" s="42">
        <v>310</v>
      </c>
      <c r="B97" s="116" t="s">
        <v>77</v>
      </c>
      <c r="C97" s="273">
        <f>'[9]Sch C'!D95</f>
        <v>775</v>
      </c>
      <c r="D97" s="273">
        <f>'[9]Sch C'!F95</f>
        <v>0</v>
      </c>
      <c r="E97" s="259">
        <f t="shared" si="14"/>
        <v>775</v>
      </c>
      <c r="F97" s="183"/>
      <c r="G97" s="183">
        <f t="shared" si="15"/>
        <v>775</v>
      </c>
      <c r="H97" s="181">
        <f t="shared" si="16"/>
        <v>9.0288877808275352E-4</v>
      </c>
      <c r="J97" s="136"/>
      <c r="K97" s="136"/>
      <c r="M97" s="237">
        <f t="shared" si="17"/>
        <v>0.13336775081741525</v>
      </c>
      <c r="N97" s="243">
        <f>SUMMARY!M97</f>
        <v>1.3777192007604808</v>
      </c>
    </row>
    <row r="98" spans="1:16" s="43" customFormat="1">
      <c r="A98" s="42">
        <v>380</v>
      </c>
      <c r="B98" s="116" t="s">
        <v>51</v>
      </c>
      <c r="C98" s="273">
        <f>'[9]Sch C'!D96</f>
        <v>41610</v>
      </c>
      <c r="D98" s="273">
        <f>'[9]Sch C'!F96</f>
        <v>3</v>
      </c>
      <c r="E98" s="259">
        <f t="shared" si="14"/>
        <v>41613</v>
      </c>
      <c r="F98" s="183"/>
      <c r="G98" s="183">
        <f t="shared" si="15"/>
        <v>41613</v>
      </c>
      <c r="H98" s="181">
        <f t="shared" si="16"/>
        <v>4.8479884803042092E-2</v>
      </c>
      <c r="J98" s="136"/>
      <c r="K98" s="136"/>
      <c r="M98" s="237">
        <f t="shared" si="17"/>
        <v>7.1610738255033555</v>
      </c>
      <c r="N98" s="243">
        <f>SUMMARY!M98</f>
        <v>6.6601349210358336</v>
      </c>
    </row>
    <row r="99" spans="1:16" s="43" customFormat="1">
      <c r="A99" s="42">
        <v>390</v>
      </c>
      <c r="B99" s="116" t="s">
        <v>52</v>
      </c>
      <c r="C99" s="273">
        <f>'[9]Sch C'!D97</f>
        <v>3769</v>
      </c>
      <c r="D99" s="273">
        <f>'[9]Sch C'!F97</f>
        <v>34</v>
      </c>
      <c r="E99" s="259">
        <f t="shared" si="14"/>
        <v>3803</v>
      </c>
      <c r="F99" s="183"/>
      <c r="G99" s="183">
        <f t="shared" si="15"/>
        <v>3803</v>
      </c>
      <c r="H99" s="181">
        <f t="shared" si="16"/>
        <v>4.4305626103854348E-3</v>
      </c>
      <c r="J99" s="136"/>
      <c r="K99" s="136"/>
      <c r="M99" s="237">
        <f t="shared" si="17"/>
        <v>0.65444845981758737</v>
      </c>
      <c r="N99" s="243">
        <f>SUMMARY!M99</f>
        <v>0.60094509016931719</v>
      </c>
    </row>
    <row r="100" spans="1:16" s="43" customFormat="1">
      <c r="A100" s="42">
        <v>490</v>
      </c>
      <c r="B100" s="116" t="s">
        <v>301</v>
      </c>
      <c r="C100" s="273">
        <f>'[9]Sch C'!D98</f>
        <v>0</v>
      </c>
      <c r="D100" s="273">
        <f>'[9]Sch C'!F98</f>
        <v>0</v>
      </c>
      <c r="E100" s="259">
        <f t="shared" si="14"/>
        <v>0</v>
      </c>
      <c r="F100" s="183"/>
      <c r="G100" s="183">
        <f t="shared" si="15"/>
        <v>0</v>
      </c>
      <c r="H100" s="181">
        <f t="shared" si="16"/>
        <v>0</v>
      </c>
      <c r="J100" s="136"/>
      <c r="K100" s="136"/>
      <c r="M100" s="237">
        <f t="shared" si="17"/>
        <v>0</v>
      </c>
      <c r="N100" s="243">
        <f>SUMMARY!M100</f>
        <v>1.5205022111803523E-2</v>
      </c>
    </row>
    <row r="101" spans="1:16" s="43" customFormat="1">
      <c r="A101" s="42"/>
      <c r="B101" s="116" t="s">
        <v>54</v>
      </c>
      <c r="C101" s="273">
        <f>SUM(C95:C100)</f>
        <v>47954</v>
      </c>
      <c r="D101" s="273">
        <f>SUM(D95:D100)</f>
        <v>556</v>
      </c>
      <c r="E101" s="183">
        <f>SUM(E95:E100)</f>
        <v>48510</v>
      </c>
      <c r="F101" s="183">
        <f>SUM(F95:F100)</f>
        <v>0</v>
      </c>
      <c r="G101" s="183">
        <f t="shared" si="15"/>
        <v>48510</v>
      </c>
      <c r="H101" s="181">
        <f t="shared" si="16"/>
        <v>5.6515012419089516E-2</v>
      </c>
      <c r="J101" s="136"/>
      <c r="K101" s="136"/>
      <c r="M101" s="237">
        <f t="shared" si="17"/>
        <v>8.3479607640681461</v>
      </c>
      <c r="N101" s="243">
        <f>SUMMARY!M101</f>
        <v>14.116295917008408</v>
      </c>
      <c r="O101" s="238">
        <f>M101/N101-1</f>
        <v>-0.40862951491333677</v>
      </c>
      <c r="P101" s="178">
        <f>IF(O101&gt;=0.2,0.9,0)</f>
        <v>0</v>
      </c>
    </row>
    <row r="102" spans="1:16" s="43" customFormat="1">
      <c r="A102" s="42"/>
      <c r="C102" s="28"/>
      <c r="D102" s="28"/>
      <c r="E102" s="28"/>
      <c r="F102" s="28"/>
      <c r="G102" s="28"/>
      <c r="H102" s="186"/>
      <c r="J102" s="136"/>
      <c r="K102" s="136"/>
    </row>
    <row r="103" spans="1:16" s="43" customFormat="1">
      <c r="A103" s="130" t="s">
        <v>223</v>
      </c>
      <c r="B103" s="116" t="s">
        <v>55</v>
      </c>
      <c r="C103" s="28"/>
      <c r="D103" s="28"/>
      <c r="E103" s="28"/>
      <c r="F103" s="28"/>
      <c r="G103" s="28"/>
      <c r="H103" s="186"/>
      <c r="J103" s="136"/>
      <c r="K103" s="136"/>
    </row>
    <row r="104" spans="1:16" s="43" customFormat="1">
      <c r="A104" s="130" t="s">
        <v>201</v>
      </c>
      <c r="B104" s="116" t="s">
        <v>40</v>
      </c>
      <c r="C104" s="273">
        <f>'[9]Sch C'!D102</f>
        <v>0</v>
      </c>
      <c r="D104" s="273">
        <f>'[9]Sch C'!F102</f>
        <v>0</v>
      </c>
      <c r="E104" s="259">
        <f t="shared" ref="E104:E109" si="18">SUM(C104:D104)</f>
        <v>0</v>
      </c>
      <c r="F104" s="180"/>
      <c r="G104" s="180">
        <f t="shared" ref="G104:G110" si="19">IF(ISERROR(E104+F104),"",(E104+F104))</f>
        <v>0</v>
      </c>
      <c r="H104" s="181">
        <f t="shared" ref="H104:H110" si="20">IF(ISERROR(G104/$G$183),"",(G104/$G$183))</f>
        <v>0</v>
      </c>
      <c r="J104" s="261">
        <v>0</v>
      </c>
      <c r="K104" s="261">
        <v>0</v>
      </c>
      <c r="M104" s="237">
        <f t="shared" ref="M104:M110" si="21">IFERROR(G104/G$198,0)</f>
        <v>0</v>
      </c>
      <c r="N104" s="243">
        <f>SUMMARY!M104</f>
        <v>1.8068113080176527</v>
      </c>
    </row>
    <row r="105" spans="1:16" s="43" customFormat="1">
      <c r="A105" s="130" t="s">
        <v>202</v>
      </c>
      <c r="B105" s="116" t="s">
        <v>23</v>
      </c>
      <c r="C105" s="273">
        <f>'[9]Sch C'!D103</f>
        <v>0</v>
      </c>
      <c r="D105" s="273">
        <f>'[9]Sch C'!F103</f>
        <v>0</v>
      </c>
      <c r="E105" s="259">
        <f t="shared" si="18"/>
        <v>0</v>
      </c>
      <c r="F105" s="183"/>
      <c r="G105" s="183">
        <f t="shared" si="19"/>
        <v>0</v>
      </c>
      <c r="H105" s="181">
        <f t="shared" si="20"/>
        <v>0</v>
      </c>
      <c r="J105" s="136"/>
      <c r="K105" s="136"/>
      <c r="M105" s="237">
        <f t="shared" si="21"/>
        <v>0</v>
      </c>
      <c r="N105" s="243">
        <f>SUMMARY!M105</f>
        <v>0.24148160564298735</v>
      </c>
    </row>
    <row r="106" spans="1:16" s="43" customFormat="1">
      <c r="A106" s="42">
        <v>110</v>
      </c>
      <c r="B106" s="116" t="s">
        <v>43</v>
      </c>
      <c r="C106" s="273">
        <f>'[9]Sch C'!D104</f>
        <v>486</v>
      </c>
      <c r="D106" s="273">
        <f>'[9]Sch C'!F104</f>
        <v>0</v>
      </c>
      <c r="E106" s="259">
        <f t="shared" si="18"/>
        <v>486</v>
      </c>
      <c r="F106" s="183"/>
      <c r="G106" s="183">
        <f t="shared" si="19"/>
        <v>486</v>
      </c>
      <c r="H106" s="181">
        <f t="shared" si="20"/>
        <v>5.6619864019124937E-4</v>
      </c>
      <c r="J106" s="136"/>
      <c r="K106" s="136"/>
      <c r="M106" s="237">
        <f t="shared" si="21"/>
        <v>8.3634486319050072E-2</v>
      </c>
      <c r="N106" s="243">
        <f>SUMMARY!M106</f>
        <v>8.6876656089126869E-2</v>
      </c>
    </row>
    <row r="107" spans="1:16" s="43" customFormat="1">
      <c r="A107" s="42">
        <v>310</v>
      </c>
      <c r="B107" s="116" t="s">
        <v>77</v>
      </c>
      <c r="C107" s="273">
        <f>'[9]Sch C'!D105</f>
        <v>0</v>
      </c>
      <c r="D107" s="273">
        <f>'[9]Sch C'!F105</f>
        <v>0</v>
      </c>
      <c r="E107" s="259">
        <f t="shared" si="18"/>
        <v>0</v>
      </c>
      <c r="F107" s="183"/>
      <c r="G107" s="183">
        <f t="shared" si="19"/>
        <v>0</v>
      </c>
      <c r="H107" s="181">
        <f t="shared" si="20"/>
        <v>0</v>
      </c>
      <c r="J107" s="136"/>
      <c r="K107" s="136"/>
      <c r="M107" s="237">
        <f t="shared" si="21"/>
        <v>0</v>
      </c>
      <c r="N107" s="243">
        <f>SUMMARY!M107</f>
        <v>0.38781761321105634</v>
      </c>
    </row>
    <row r="108" spans="1:16" s="43" customFormat="1">
      <c r="A108" s="42">
        <v>410</v>
      </c>
      <c r="B108" s="116" t="s">
        <v>56</v>
      </c>
      <c r="C108" s="273">
        <f>'[9]Sch C'!D106</f>
        <v>294</v>
      </c>
      <c r="D108" s="273">
        <f>'[9]Sch C'!F106</f>
        <v>0</v>
      </c>
      <c r="E108" s="259">
        <f t="shared" si="18"/>
        <v>294</v>
      </c>
      <c r="F108" s="183"/>
      <c r="G108" s="183">
        <f t="shared" si="19"/>
        <v>294</v>
      </c>
      <c r="H108" s="181">
        <f t="shared" si="20"/>
        <v>3.4251522678236068E-4</v>
      </c>
      <c r="J108" s="136"/>
      <c r="K108" s="136"/>
      <c r="M108" s="237">
        <f t="shared" si="21"/>
        <v>5.0593701600413009E-2</v>
      </c>
      <c r="N108" s="243">
        <f>SUMMARY!M108</f>
        <v>0.15788241020954549</v>
      </c>
    </row>
    <row r="109" spans="1:16" s="43" customFormat="1">
      <c r="A109" s="42">
        <v>490</v>
      </c>
      <c r="B109" s="116" t="s">
        <v>301</v>
      </c>
      <c r="C109" s="273">
        <f>'[9]Sch C'!D107</f>
        <v>0</v>
      </c>
      <c r="D109" s="273">
        <f>'[9]Sch C'!F107</f>
        <v>0</v>
      </c>
      <c r="E109" s="259">
        <f t="shared" si="18"/>
        <v>0</v>
      </c>
      <c r="F109" s="183"/>
      <c r="G109" s="183">
        <f t="shared" si="19"/>
        <v>0</v>
      </c>
      <c r="H109" s="181">
        <f t="shared" si="20"/>
        <v>0</v>
      </c>
      <c r="J109" s="136"/>
      <c r="K109" s="136"/>
      <c r="M109" s="237">
        <f t="shared" si="21"/>
        <v>0</v>
      </c>
      <c r="N109" s="243">
        <f>SUMMARY!M109</f>
        <v>1.3547210881854545E-3</v>
      </c>
    </row>
    <row r="110" spans="1:16" s="43" customFormat="1">
      <c r="A110" s="42"/>
      <c r="B110" s="116" t="s">
        <v>58</v>
      </c>
      <c r="C110" s="273">
        <f>SUM(C104:C109)</f>
        <v>780</v>
      </c>
      <c r="D110" s="273">
        <f>SUM(D104:D109)</f>
        <v>0</v>
      </c>
      <c r="E110" s="183">
        <f>SUM(E104:E109)</f>
        <v>780</v>
      </c>
      <c r="F110" s="183">
        <f>SUM(F104:F109)</f>
        <v>0</v>
      </c>
      <c r="G110" s="183">
        <f t="shared" si="19"/>
        <v>780</v>
      </c>
      <c r="H110" s="181">
        <f t="shared" si="20"/>
        <v>9.0871386697360999E-4</v>
      </c>
      <c r="J110" s="136"/>
      <c r="K110" s="136"/>
      <c r="M110" s="237">
        <f t="shared" si="21"/>
        <v>0.13422818791946309</v>
      </c>
      <c r="N110" s="243">
        <f>SUMMARY!M110</f>
        <v>2.6822243142585545</v>
      </c>
      <c r="O110" s="238">
        <f>M110/N110-1</f>
        <v>-0.94995638984930775</v>
      </c>
      <c r="P110" s="178">
        <f>IF(O110&gt;=0.2,0.2,0)</f>
        <v>0</v>
      </c>
    </row>
    <row r="111" spans="1:16" s="43" customFormat="1">
      <c r="A111" s="42"/>
      <c r="C111" s="28"/>
      <c r="D111" s="28"/>
      <c r="E111" s="28"/>
      <c r="F111" s="28"/>
      <c r="G111" s="28"/>
      <c r="H111" s="186"/>
      <c r="J111" s="136"/>
      <c r="K111" s="136"/>
    </row>
    <row r="112" spans="1:16" s="43" customFormat="1">
      <c r="A112" s="130" t="s">
        <v>224</v>
      </c>
      <c r="B112" s="116" t="s">
        <v>59</v>
      </c>
      <c r="C112" s="28"/>
      <c r="D112" s="28"/>
      <c r="E112" s="28"/>
      <c r="F112" s="28"/>
      <c r="G112" s="28"/>
      <c r="H112" s="186"/>
      <c r="J112" s="136"/>
      <c r="K112" s="136"/>
    </row>
    <row r="113" spans="1:16" s="43" customFormat="1">
      <c r="A113" s="130" t="s">
        <v>201</v>
      </c>
      <c r="B113" s="116" t="s">
        <v>40</v>
      </c>
      <c r="C113" s="273">
        <f>'[9]Sch C'!D121</f>
        <v>0</v>
      </c>
      <c r="D113" s="273">
        <f>'[9]Sch C'!F121</f>
        <v>0</v>
      </c>
      <c r="E113" s="259">
        <f t="shared" ref="E113:E117" si="22">SUM(C113:D113)</f>
        <v>0</v>
      </c>
      <c r="F113" s="180"/>
      <c r="G113" s="180">
        <f t="shared" ref="G113:G118" si="23">IF(ISERROR(E113+F113),"",(E113+F113))</f>
        <v>0</v>
      </c>
      <c r="H113" s="181">
        <f t="shared" ref="H113:H118" si="24">IF(ISERROR(G113/$G$183),"",(G113/$G$183))</f>
        <v>0</v>
      </c>
      <c r="J113" s="261">
        <v>0</v>
      </c>
      <c r="K113" s="261">
        <v>0</v>
      </c>
      <c r="M113" s="237">
        <f t="shared" ref="M113:M118" si="25">IFERROR(G113/G$198,0)</f>
        <v>0</v>
      </c>
      <c r="N113" s="243">
        <f>SUMMARY!M113</f>
        <v>1.5319532781954197</v>
      </c>
    </row>
    <row r="114" spans="1:16" s="43" customFormat="1">
      <c r="A114" s="130" t="s">
        <v>202</v>
      </c>
      <c r="B114" s="116" t="s">
        <v>225</v>
      </c>
      <c r="C114" s="273">
        <f>'[9]Sch C'!D122</f>
        <v>0</v>
      </c>
      <c r="D114" s="273">
        <f>'[9]Sch C'!F122</f>
        <v>0</v>
      </c>
      <c r="E114" s="259">
        <f t="shared" si="22"/>
        <v>0</v>
      </c>
      <c r="F114" s="183"/>
      <c r="G114" s="183">
        <f t="shared" si="23"/>
        <v>0</v>
      </c>
      <c r="H114" s="181">
        <f t="shared" si="24"/>
        <v>0</v>
      </c>
      <c r="J114" s="136"/>
      <c r="K114" s="136"/>
      <c r="M114" s="237">
        <f t="shared" si="25"/>
        <v>0</v>
      </c>
      <c r="N114" s="243">
        <f>SUMMARY!M114</f>
        <v>0.30156940993860132</v>
      </c>
    </row>
    <row r="115" spans="1:16" s="43" customFormat="1">
      <c r="A115" s="130" t="s">
        <v>209</v>
      </c>
      <c r="B115" s="116" t="s">
        <v>43</v>
      </c>
      <c r="C115" s="273">
        <f>'[9]Sch C'!D123</f>
        <v>4402</v>
      </c>
      <c r="D115" s="273">
        <f>'[9]Sch C'!F123</f>
        <v>0</v>
      </c>
      <c r="E115" s="259">
        <f t="shared" si="22"/>
        <v>4402</v>
      </c>
      <c r="F115" s="183"/>
      <c r="G115" s="183">
        <f t="shared" si="23"/>
        <v>4402</v>
      </c>
      <c r="H115" s="181">
        <f t="shared" si="24"/>
        <v>5.1284082595100403E-3</v>
      </c>
      <c r="J115" s="136"/>
      <c r="K115" s="136"/>
      <c r="M115" s="237">
        <f t="shared" si="25"/>
        <v>0.7575288246429186</v>
      </c>
      <c r="N115" s="243">
        <f>SUMMARY!M115</f>
        <v>0.71195874300252115</v>
      </c>
    </row>
    <row r="116" spans="1:16" s="43" customFormat="1">
      <c r="A116" s="42">
        <v>310</v>
      </c>
      <c r="B116" s="116" t="s">
        <v>57</v>
      </c>
      <c r="C116" s="273">
        <f>'[9]Sch C'!D124</f>
        <v>0</v>
      </c>
      <c r="D116" s="273">
        <f>'[9]Sch C'!F124</f>
        <v>0</v>
      </c>
      <c r="E116" s="259">
        <f t="shared" si="22"/>
        <v>0</v>
      </c>
      <c r="F116" s="183"/>
      <c r="G116" s="183">
        <f t="shared" si="23"/>
        <v>0</v>
      </c>
      <c r="H116" s="181">
        <f t="shared" si="24"/>
        <v>0</v>
      </c>
      <c r="J116" s="136"/>
      <c r="K116" s="136"/>
      <c r="M116" s="237">
        <f t="shared" si="25"/>
        <v>0</v>
      </c>
      <c r="N116" s="243">
        <f>SUMMARY!M116</f>
        <v>0.61607663588311745</v>
      </c>
    </row>
    <row r="117" spans="1:16" s="43" customFormat="1">
      <c r="A117" s="42">
        <v>490</v>
      </c>
      <c r="B117" s="116" t="s">
        <v>301</v>
      </c>
      <c r="C117" s="273">
        <f>'[9]Sch C'!D125</f>
        <v>0</v>
      </c>
      <c r="D117" s="273">
        <f>'[9]Sch C'!F125</f>
        <v>0</v>
      </c>
      <c r="E117" s="259">
        <f t="shared" si="22"/>
        <v>0</v>
      </c>
      <c r="F117" s="183"/>
      <c r="G117" s="183">
        <f t="shared" si="23"/>
        <v>0</v>
      </c>
      <c r="H117" s="181">
        <f t="shared" si="24"/>
        <v>0</v>
      </c>
      <c r="J117" s="136"/>
      <c r="K117" s="136"/>
      <c r="M117" s="237">
        <f t="shared" si="25"/>
        <v>0</v>
      </c>
      <c r="N117" s="243">
        <f>SUMMARY!M117</f>
        <v>6.1306869583985816E-3</v>
      </c>
    </row>
    <row r="118" spans="1:16" s="43" customFormat="1">
      <c r="A118" s="42"/>
      <c r="B118" s="116" t="s">
        <v>60</v>
      </c>
      <c r="C118" s="273">
        <f>SUM(C113:C117)</f>
        <v>4402</v>
      </c>
      <c r="D118" s="273">
        <f>SUM(D113:D117)</f>
        <v>0</v>
      </c>
      <c r="E118" s="183">
        <f>SUM(E113:E117)</f>
        <v>4402</v>
      </c>
      <c r="F118" s="183">
        <f>SUM(F113:F117)</f>
        <v>0</v>
      </c>
      <c r="G118" s="183">
        <f t="shared" si="23"/>
        <v>4402</v>
      </c>
      <c r="H118" s="181">
        <f t="shared" si="24"/>
        <v>5.1284082595100403E-3</v>
      </c>
      <c r="J118" s="136"/>
      <c r="K118" s="136"/>
      <c r="M118" s="237">
        <f t="shared" si="25"/>
        <v>0.7575288246429186</v>
      </c>
      <c r="N118" s="243">
        <f>SUMMARY!M118</f>
        <v>3.1676887539780583</v>
      </c>
      <c r="O118" s="238">
        <f>M118/N118-1</f>
        <v>-0.76085755783563136</v>
      </c>
      <c r="P118" s="178">
        <f>IF(O118&gt;=0.2,0.2,0)</f>
        <v>0</v>
      </c>
    </row>
    <row r="119" spans="1:16" s="43" customFormat="1">
      <c r="A119" s="42"/>
      <c r="B119" s="116"/>
      <c r="C119" s="28"/>
      <c r="D119" s="28"/>
      <c r="E119" s="28"/>
      <c r="F119" s="28"/>
      <c r="G119" s="28"/>
      <c r="H119" s="198"/>
      <c r="J119" s="200"/>
      <c r="K119" s="200"/>
    </row>
    <row r="120" spans="1:16" s="43" customFormat="1">
      <c r="A120" s="130" t="s">
        <v>226</v>
      </c>
      <c r="B120" s="116" t="s">
        <v>61</v>
      </c>
      <c r="C120" s="28"/>
      <c r="D120" s="28"/>
      <c r="E120" s="28"/>
      <c r="F120" s="28"/>
      <c r="G120" s="28"/>
      <c r="H120" s="186"/>
      <c r="J120" s="136"/>
      <c r="K120" s="136"/>
    </row>
    <row r="121" spans="1:16" s="43" customFormat="1">
      <c r="A121" s="130" t="s">
        <v>201</v>
      </c>
      <c r="B121" s="116" t="s">
        <v>227</v>
      </c>
      <c r="C121" s="273">
        <f>'[9]Sch C'!D129</f>
        <v>0</v>
      </c>
      <c r="D121" s="273">
        <f>'[9]Sch C'!F129</f>
        <v>0</v>
      </c>
      <c r="E121" s="259">
        <f t="shared" ref="E121:E131" si="26">SUM(C121:D121)</f>
        <v>0</v>
      </c>
      <c r="F121" s="180"/>
      <c r="G121" s="180">
        <f>IF(ISERROR(E121+F121),"",(E121+F121))</f>
        <v>0</v>
      </c>
      <c r="H121" s="181">
        <f>IF(ISERROR(G121/$G$183),"",(G121/$G$183))</f>
        <v>0</v>
      </c>
      <c r="J121" s="261">
        <v>0</v>
      </c>
      <c r="K121" s="261">
        <v>0</v>
      </c>
      <c r="M121" s="237">
        <f t="shared" ref="M121:M131" si="27">IFERROR(G121/G$198,0)</f>
        <v>0</v>
      </c>
      <c r="N121" s="243">
        <f>SUMMARY!M121</f>
        <v>3.9104730043121463</v>
      </c>
    </row>
    <row r="122" spans="1:16" s="43" customFormat="1">
      <c r="A122" s="130" t="s">
        <v>228</v>
      </c>
      <c r="B122" s="116" t="s">
        <v>229</v>
      </c>
      <c r="C122" s="273">
        <f>'[9]Sch C'!D130</f>
        <v>0</v>
      </c>
      <c r="D122" s="273">
        <f>'[9]Sch C'!F130</f>
        <v>0</v>
      </c>
      <c r="E122" s="259">
        <f t="shared" si="26"/>
        <v>0</v>
      </c>
      <c r="F122" s="180"/>
      <c r="G122" s="180">
        <f t="shared" ref="G122:G131" si="28">IF(ISERROR(E122+F122),"",(E122+F122))</f>
        <v>0</v>
      </c>
      <c r="H122" s="181">
        <f t="shared" ref="H122:H131" si="29">IF(ISERROR(G122/$G$183),"",(G122/$G$183))</f>
        <v>0</v>
      </c>
      <c r="J122" s="136"/>
      <c r="K122" s="136"/>
      <c r="M122" s="237">
        <f t="shared" si="27"/>
        <v>0</v>
      </c>
      <c r="N122" s="243">
        <f>SUMMARY!M122</f>
        <v>0.5000351768255441</v>
      </c>
    </row>
    <row r="123" spans="1:16" s="43" customFormat="1">
      <c r="A123" s="130" t="s">
        <v>202</v>
      </c>
      <c r="B123" s="116" t="s">
        <v>230</v>
      </c>
      <c r="C123" s="273">
        <f>'[9]Sch C'!D131</f>
        <v>236594</v>
      </c>
      <c r="D123" s="273">
        <f>'[9]Sch C'!F131</f>
        <v>0</v>
      </c>
      <c r="E123" s="259">
        <f t="shared" si="26"/>
        <v>236594</v>
      </c>
      <c r="F123" s="180"/>
      <c r="G123" s="180">
        <f t="shared" si="28"/>
        <v>236594</v>
      </c>
      <c r="H123" s="181">
        <f t="shared" si="29"/>
        <v>0.27563621620865936</v>
      </c>
      <c r="J123" s="261">
        <v>21212</v>
      </c>
      <c r="K123" s="261">
        <v>22177</v>
      </c>
      <c r="M123" s="237">
        <f t="shared" si="27"/>
        <v>40.714851144381349</v>
      </c>
      <c r="N123" s="243">
        <f>SUMMARY!M123</f>
        <v>25.000291976836564</v>
      </c>
    </row>
    <row r="124" spans="1:16" s="43" customFormat="1">
      <c r="A124" s="130" t="s">
        <v>231</v>
      </c>
      <c r="B124" s="116" t="s">
        <v>232</v>
      </c>
      <c r="C124" s="273">
        <f>'[9]Sch C'!D132</f>
        <v>0</v>
      </c>
      <c r="D124" s="273">
        <f>'[9]Sch C'!F132</f>
        <v>68229</v>
      </c>
      <c r="E124" s="259">
        <f t="shared" si="26"/>
        <v>68229</v>
      </c>
      <c r="F124" s="180"/>
      <c r="G124" s="180">
        <f t="shared" si="28"/>
        <v>68229</v>
      </c>
      <c r="H124" s="181">
        <f t="shared" si="29"/>
        <v>7.9487997986849274E-2</v>
      </c>
      <c r="J124" s="136"/>
      <c r="K124" s="136"/>
      <c r="M124" s="237">
        <f t="shared" si="27"/>
        <v>11.741352607124419</v>
      </c>
      <c r="N124" s="243">
        <f>SUMMARY!M124</f>
        <v>4.2291428059717937</v>
      </c>
    </row>
    <row r="125" spans="1:16" s="43" customFormat="1">
      <c r="A125" s="130" t="s">
        <v>149</v>
      </c>
      <c r="B125" s="116" t="s">
        <v>150</v>
      </c>
      <c r="C125" s="273">
        <f>'[9]Sch C'!D133</f>
        <v>0</v>
      </c>
      <c r="D125" s="273">
        <f>'[9]Sch C'!F133</f>
        <v>0</v>
      </c>
      <c r="E125" s="259">
        <f t="shared" si="26"/>
        <v>0</v>
      </c>
      <c r="F125" s="180"/>
      <c r="G125" s="180">
        <f t="shared" si="28"/>
        <v>0</v>
      </c>
      <c r="H125" s="181">
        <f t="shared" si="29"/>
        <v>0</v>
      </c>
      <c r="J125" s="261">
        <v>0</v>
      </c>
      <c r="K125" s="261">
        <v>0</v>
      </c>
      <c r="M125" s="237">
        <f t="shared" si="27"/>
        <v>0</v>
      </c>
      <c r="N125" s="243">
        <f>SUMMARY!M125</f>
        <v>0.32300224562241397</v>
      </c>
    </row>
    <row r="126" spans="1:16" s="43" customFormat="1">
      <c r="A126" s="42">
        <v>110</v>
      </c>
      <c r="B126" s="43" t="s">
        <v>69</v>
      </c>
      <c r="C126" s="273">
        <f>'[9]Sch C'!D134</f>
        <v>3967</v>
      </c>
      <c r="D126" s="273">
        <f>'[9]Sch C'!F134</f>
        <v>15</v>
      </c>
      <c r="E126" s="259">
        <f t="shared" si="26"/>
        <v>3982</v>
      </c>
      <c r="F126" s="180"/>
      <c r="G126" s="180">
        <f t="shared" si="28"/>
        <v>3982</v>
      </c>
      <c r="H126" s="181">
        <f t="shared" si="29"/>
        <v>4.6391007926780961E-3</v>
      </c>
      <c r="J126" s="136"/>
      <c r="K126" s="136"/>
      <c r="M126" s="237">
        <f t="shared" si="27"/>
        <v>0.68525210807089998</v>
      </c>
      <c r="N126" s="243">
        <f>SUMMARY!M126</f>
        <v>1.7661567710796897</v>
      </c>
    </row>
    <row r="127" spans="1:16" s="43" customFormat="1">
      <c r="A127" s="42">
        <v>111</v>
      </c>
      <c r="B127" s="116" t="s">
        <v>107</v>
      </c>
      <c r="C127" s="273">
        <f>'[9]Sch C'!D135</f>
        <v>0</v>
      </c>
      <c r="D127" s="273">
        <f>'[9]Sch C'!F135</f>
        <v>0</v>
      </c>
      <c r="E127" s="259">
        <f t="shared" si="26"/>
        <v>0</v>
      </c>
      <c r="F127" s="180"/>
      <c r="G127" s="180">
        <f t="shared" si="28"/>
        <v>0</v>
      </c>
      <c r="H127" s="181">
        <f t="shared" si="29"/>
        <v>0</v>
      </c>
      <c r="J127" s="136"/>
      <c r="K127" s="136"/>
      <c r="M127" s="237">
        <f t="shared" si="27"/>
        <v>0</v>
      </c>
      <c r="N127" s="243">
        <f>SUMMARY!M127</f>
        <v>1.4865193771038359E-2</v>
      </c>
    </row>
    <row r="128" spans="1:16" s="43" customFormat="1">
      <c r="A128" s="42">
        <v>230</v>
      </c>
      <c r="B128" s="116" t="s">
        <v>233</v>
      </c>
      <c r="C128" s="273">
        <f>'[9]Sch C'!D136</f>
        <v>0</v>
      </c>
      <c r="D128" s="273">
        <f>'[9]Sch C'!F136</f>
        <v>0</v>
      </c>
      <c r="E128" s="259">
        <f t="shared" si="26"/>
        <v>0</v>
      </c>
      <c r="F128" s="180"/>
      <c r="G128" s="180">
        <f t="shared" si="28"/>
        <v>0</v>
      </c>
      <c r="H128" s="181">
        <f t="shared" si="29"/>
        <v>0</v>
      </c>
      <c r="J128" s="136"/>
      <c r="K128" s="136"/>
      <c r="M128" s="237">
        <f t="shared" si="27"/>
        <v>0</v>
      </c>
      <c r="N128" s="243">
        <f>SUMMARY!M128</f>
        <v>0</v>
      </c>
    </row>
    <row r="129" spans="1:16" s="43" customFormat="1">
      <c r="A129" s="42">
        <v>310</v>
      </c>
      <c r="B129" s="116" t="s">
        <v>77</v>
      </c>
      <c r="C129" s="273">
        <f>'[9]Sch C'!D137</f>
        <v>0</v>
      </c>
      <c r="D129" s="273">
        <f>'[9]Sch C'!F137</f>
        <v>0</v>
      </c>
      <c r="E129" s="259">
        <f t="shared" si="26"/>
        <v>0</v>
      </c>
      <c r="F129" s="180"/>
      <c r="G129" s="180">
        <f t="shared" si="28"/>
        <v>0</v>
      </c>
      <c r="H129" s="181">
        <f t="shared" si="29"/>
        <v>0</v>
      </c>
      <c r="J129" s="136"/>
      <c r="K129" s="136"/>
      <c r="M129" s="237">
        <f t="shared" si="27"/>
        <v>0</v>
      </c>
      <c r="N129" s="243">
        <f>SUMMARY!M129</f>
        <v>0.64410788172136835</v>
      </c>
    </row>
    <row r="130" spans="1:16" s="43" customFormat="1">
      <c r="A130" s="42">
        <v>330</v>
      </c>
      <c r="B130" s="116" t="s">
        <v>311</v>
      </c>
      <c r="C130" s="273">
        <f>'[9]Sch C'!D138</f>
        <v>0</v>
      </c>
      <c r="D130" s="273">
        <f>'[9]Sch C'!F138</f>
        <v>0</v>
      </c>
      <c r="E130" s="259">
        <f t="shared" si="26"/>
        <v>0</v>
      </c>
      <c r="F130" s="180"/>
      <c r="G130" s="180">
        <f t="shared" si="28"/>
        <v>0</v>
      </c>
      <c r="H130" s="181">
        <f t="shared" si="29"/>
        <v>0</v>
      </c>
      <c r="J130" s="136"/>
      <c r="K130" s="136"/>
      <c r="M130" s="237">
        <f t="shared" si="27"/>
        <v>0</v>
      </c>
      <c r="N130" s="243">
        <f>SUMMARY!M130</f>
        <v>0.10774395312205808</v>
      </c>
    </row>
    <row r="131" spans="1:16" s="43" customFormat="1">
      <c r="A131" s="42">
        <v>390</v>
      </c>
      <c r="B131" s="116" t="s">
        <v>70</v>
      </c>
      <c r="C131" s="273">
        <f>'[9]Sch C'!D139</f>
        <v>0</v>
      </c>
      <c r="D131" s="273">
        <f>'[9]Sch C'!F139</f>
        <v>0</v>
      </c>
      <c r="E131" s="259">
        <f t="shared" si="26"/>
        <v>0</v>
      </c>
      <c r="F131" s="180"/>
      <c r="G131" s="180">
        <f t="shared" si="28"/>
        <v>0</v>
      </c>
      <c r="H131" s="181">
        <f t="shared" si="29"/>
        <v>0</v>
      </c>
      <c r="J131" s="136"/>
      <c r="K131" s="136"/>
      <c r="M131" s="237">
        <f t="shared" si="27"/>
        <v>0</v>
      </c>
      <c r="N131" s="243">
        <f>SUMMARY!M131</f>
        <v>3.5080387771690459E-2</v>
      </c>
    </row>
    <row r="132" spans="1:16" s="43" customFormat="1">
      <c r="A132" s="42"/>
      <c r="B132" s="201" t="s">
        <v>234</v>
      </c>
      <c r="C132" s="33"/>
      <c r="D132" s="33"/>
      <c r="E132" s="33"/>
      <c r="F132" s="33"/>
      <c r="G132" s="33"/>
      <c r="H132" s="202"/>
      <c r="J132" s="136"/>
      <c r="K132" s="136"/>
    </row>
    <row r="133" spans="1:16" s="43" customFormat="1">
      <c r="A133" s="42" t="s">
        <v>325</v>
      </c>
      <c r="B133" s="42" t="s">
        <v>235</v>
      </c>
      <c r="C133" s="273">
        <f>'[9]Sch C'!D141</f>
        <v>0</v>
      </c>
      <c r="D133" s="273">
        <f>'[9]Sch C'!F141</f>
        <v>0</v>
      </c>
      <c r="E133" s="259">
        <f t="shared" ref="E133:E138" si="30">SUM(C133:D133)</f>
        <v>0</v>
      </c>
      <c r="F133" s="183"/>
      <c r="G133" s="183">
        <f>IF(ISERROR(E133+F133)," ",(E133+F133))</f>
        <v>0</v>
      </c>
      <c r="H133" s="181">
        <f t="shared" ref="H133:H139" si="31">IF(ISERROR(G133/$G$183),"",(G133/$G$183))</f>
        <v>0</v>
      </c>
      <c r="J133" s="136"/>
      <c r="K133" s="136"/>
      <c r="M133" s="237">
        <f t="shared" ref="M133:M139" si="32">IFERROR(G133/G$198,0)</f>
        <v>0</v>
      </c>
      <c r="N133" s="243">
        <f>SUMMARY!M133</f>
        <v>1.2628755906813557E-3</v>
      </c>
    </row>
    <row r="134" spans="1:16" s="43" customFormat="1">
      <c r="A134" s="42" t="s">
        <v>326</v>
      </c>
      <c r="B134" s="42" t="s">
        <v>236</v>
      </c>
      <c r="C134" s="273">
        <f>'[9]Sch C'!D142</f>
        <v>0</v>
      </c>
      <c r="D134" s="273">
        <f>'[9]Sch C'!F142</f>
        <v>0</v>
      </c>
      <c r="E134" s="259">
        <f t="shared" si="30"/>
        <v>0</v>
      </c>
      <c r="F134" s="183"/>
      <c r="G134" s="183">
        <f t="shared" ref="G134:G139" si="33">IF(ISERROR(E134+F134),"",(E134+F134))</f>
        <v>0</v>
      </c>
      <c r="H134" s="181">
        <f t="shared" si="31"/>
        <v>0</v>
      </c>
      <c r="J134" s="136"/>
      <c r="K134" s="136"/>
      <c r="M134" s="237">
        <f t="shared" si="32"/>
        <v>0</v>
      </c>
      <c r="N134" s="243">
        <f>SUMMARY!M134</f>
        <v>7.8068672878483817E-3</v>
      </c>
    </row>
    <row r="135" spans="1:16" s="43" customFormat="1">
      <c r="A135" s="42" t="s">
        <v>327</v>
      </c>
      <c r="B135" s="42" t="s">
        <v>237</v>
      </c>
      <c r="C135" s="273">
        <f>'[9]Sch C'!D143</f>
        <v>0</v>
      </c>
      <c r="D135" s="273">
        <f>'[9]Sch C'!F143</f>
        <v>0</v>
      </c>
      <c r="E135" s="259">
        <f t="shared" si="30"/>
        <v>0</v>
      </c>
      <c r="F135" s="183"/>
      <c r="G135" s="183">
        <f t="shared" si="33"/>
        <v>0</v>
      </c>
      <c r="H135" s="181">
        <f t="shared" si="31"/>
        <v>0</v>
      </c>
      <c r="J135" s="136"/>
      <c r="K135" s="136"/>
      <c r="M135" s="237">
        <f t="shared" si="32"/>
        <v>0</v>
      </c>
      <c r="N135" s="243">
        <f>SUMMARY!M135</f>
        <v>0</v>
      </c>
    </row>
    <row r="136" spans="1:16" s="43" customFormat="1">
      <c r="A136" s="42" t="s">
        <v>328</v>
      </c>
      <c r="B136" s="42" t="s">
        <v>238</v>
      </c>
      <c r="C136" s="273">
        <f>'[9]Sch C'!D144</f>
        <v>0</v>
      </c>
      <c r="D136" s="273">
        <f>'[9]Sch C'!F144</f>
        <v>0</v>
      </c>
      <c r="E136" s="259">
        <f t="shared" si="30"/>
        <v>0</v>
      </c>
      <c r="F136" s="183"/>
      <c r="G136" s="183">
        <f t="shared" si="33"/>
        <v>0</v>
      </c>
      <c r="H136" s="181">
        <f t="shared" si="31"/>
        <v>0</v>
      </c>
      <c r="J136" s="136"/>
      <c r="K136" s="136"/>
      <c r="M136" s="237">
        <f t="shared" si="32"/>
        <v>0</v>
      </c>
      <c r="N136" s="243">
        <f>SUMMARY!M136</f>
        <v>3.673819900163944E-4</v>
      </c>
    </row>
    <row r="137" spans="1:16" s="43" customFormat="1">
      <c r="A137" s="42" t="s">
        <v>351</v>
      </c>
      <c r="B137" s="42" t="s">
        <v>239</v>
      </c>
      <c r="C137" s="273">
        <f>'[9]Sch C'!D145</f>
        <v>0</v>
      </c>
      <c r="D137" s="273">
        <f>'[9]Sch C'!F145</f>
        <v>0</v>
      </c>
      <c r="E137" s="259">
        <f t="shared" si="30"/>
        <v>0</v>
      </c>
      <c r="F137" s="183"/>
      <c r="G137" s="183">
        <f t="shared" si="33"/>
        <v>0</v>
      </c>
      <c r="H137" s="181">
        <f t="shared" si="31"/>
        <v>0</v>
      </c>
      <c r="J137" s="136"/>
      <c r="K137" s="136"/>
      <c r="M137" s="237">
        <f t="shared" si="32"/>
        <v>0</v>
      </c>
      <c r="N137" s="243">
        <f>SUMMARY!M137</f>
        <v>3.1916310382674264E-3</v>
      </c>
    </row>
    <row r="138" spans="1:16" s="43" customFormat="1">
      <c r="A138" s="42">
        <v>490</v>
      </c>
      <c r="B138" s="116" t="s">
        <v>301</v>
      </c>
      <c r="C138" s="273">
        <f>'[9]Sch C'!D146</f>
        <v>0</v>
      </c>
      <c r="D138" s="273">
        <f>'[9]Sch C'!F146</f>
        <v>0</v>
      </c>
      <c r="E138" s="259">
        <f t="shared" si="30"/>
        <v>0</v>
      </c>
      <c r="F138" s="183"/>
      <c r="G138" s="183">
        <f>IF(ISERROR(E138+F138),"",(E138+F138))</f>
        <v>0</v>
      </c>
      <c r="H138" s="181">
        <f t="shared" si="31"/>
        <v>0</v>
      </c>
      <c r="J138" s="136"/>
      <c r="K138" s="136"/>
      <c r="M138" s="237">
        <f t="shared" si="32"/>
        <v>0</v>
      </c>
      <c r="N138" s="243">
        <f>SUMMARY!M138</f>
        <v>0.68792277630569854</v>
      </c>
    </row>
    <row r="139" spans="1:16" s="43" customFormat="1">
      <c r="A139" s="42"/>
      <c r="B139" s="116" t="s">
        <v>71</v>
      </c>
      <c r="C139" s="273">
        <f>SUM(C121:C138)</f>
        <v>240561</v>
      </c>
      <c r="D139" s="273">
        <f>SUM(D121:D138)</f>
        <v>68244</v>
      </c>
      <c r="E139" s="182">
        <f>SUM(E121:E138)</f>
        <v>308805</v>
      </c>
      <c r="F139" s="182">
        <f>SUM(F121:F138)</f>
        <v>0</v>
      </c>
      <c r="G139" s="183">
        <f t="shared" si="33"/>
        <v>308805</v>
      </c>
      <c r="H139" s="181">
        <f t="shared" si="31"/>
        <v>0.3597633149881867</v>
      </c>
      <c r="J139" s="136"/>
      <c r="K139" s="136"/>
      <c r="M139" s="237">
        <f t="shared" si="32"/>
        <v>53.141455859576666</v>
      </c>
      <c r="N139" s="243">
        <f>SUMMARY!M139</f>
        <v>37.231450929246826</v>
      </c>
      <c r="O139" s="238">
        <f>M139/N139-1</f>
        <v>0.4273270187768019</v>
      </c>
      <c r="P139" s="178">
        <f>IF(O139&gt;=0.2,1.6,0)</f>
        <v>1.6</v>
      </c>
    </row>
    <row r="140" spans="1:16" s="43" customFormat="1">
      <c r="A140" s="42"/>
      <c r="B140" s="116"/>
      <c r="C140" s="203"/>
      <c r="D140" s="203"/>
      <c r="E140" s="203"/>
      <c r="F140" s="203"/>
      <c r="G140" s="203"/>
      <c r="H140" s="38"/>
      <c r="J140" s="136"/>
      <c r="K140" s="136"/>
    </row>
    <row r="141" spans="1:16" s="43" customFormat="1">
      <c r="A141" s="130" t="s">
        <v>240</v>
      </c>
      <c r="B141" s="116" t="s">
        <v>72</v>
      </c>
      <c r="C141" s="116"/>
      <c r="D141" s="28"/>
      <c r="E141" s="28"/>
      <c r="F141" s="28"/>
      <c r="G141" s="28"/>
      <c r="H141" s="186"/>
      <c r="J141" s="136"/>
      <c r="K141" s="136"/>
    </row>
    <row r="142" spans="1:16" s="43" customFormat="1">
      <c r="A142" s="130" t="s">
        <v>201</v>
      </c>
      <c r="B142" s="116" t="s">
        <v>73</v>
      </c>
      <c r="C142" s="273">
        <f>'[9]Sch C'!D150</f>
        <v>0</v>
      </c>
      <c r="D142" s="273">
        <f>'[9]Sch C'!F150</f>
        <v>75</v>
      </c>
      <c r="E142" s="259">
        <f t="shared" ref="E142:E146" si="34">SUM(C142:D142)</f>
        <v>75</v>
      </c>
      <c r="F142" s="180"/>
      <c r="G142" s="180">
        <f t="shared" ref="G142:G147" si="35">IF(ISERROR(E142+F142),"",(E142+F142))</f>
        <v>75</v>
      </c>
      <c r="H142" s="181">
        <f t="shared" ref="H142:H147" si="36">IF(ISERROR(G142/$G$183),"",(G142/$G$183))</f>
        <v>8.7376333362847118E-5</v>
      </c>
      <c r="J142" s="261">
        <v>4</v>
      </c>
      <c r="K142" s="261">
        <v>4</v>
      </c>
      <c r="M142" s="237">
        <f t="shared" ref="M142:M147" si="37">IFERROR(G142/G$198,0)</f>
        <v>1.2906556530717605E-2</v>
      </c>
      <c r="N142" s="243">
        <f>SUMMARY!M142</f>
        <v>2.6343795147802371</v>
      </c>
    </row>
    <row r="143" spans="1:16" s="43" customFormat="1">
      <c r="A143" s="130" t="s">
        <v>202</v>
      </c>
      <c r="B143" s="116" t="s">
        <v>23</v>
      </c>
      <c r="C143" s="273">
        <f>'[9]Sch C'!D151</f>
        <v>0</v>
      </c>
      <c r="D143" s="273">
        <f>'[9]Sch C'!F151</f>
        <v>0</v>
      </c>
      <c r="E143" s="259">
        <f t="shared" si="34"/>
        <v>0</v>
      </c>
      <c r="F143" s="183"/>
      <c r="G143" s="183">
        <f t="shared" si="35"/>
        <v>0</v>
      </c>
      <c r="H143" s="181">
        <f t="shared" si="36"/>
        <v>0</v>
      </c>
      <c r="J143" s="136"/>
      <c r="K143" s="136"/>
      <c r="M143" s="237">
        <f t="shared" si="37"/>
        <v>0</v>
      </c>
      <c r="N143" s="243">
        <f>SUMMARY!M143</f>
        <v>0.4255724041018199</v>
      </c>
    </row>
    <row r="144" spans="1:16" s="43" customFormat="1">
      <c r="A144" s="130">
        <v>110</v>
      </c>
      <c r="B144" s="116" t="s">
        <v>258</v>
      </c>
      <c r="C144" s="273">
        <f>'[9]Sch C'!D152</f>
        <v>1602</v>
      </c>
      <c r="D144" s="273">
        <f>'[9]Sch C'!F152</f>
        <v>276</v>
      </c>
      <c r="E144" s="259">
        <f t="shared" si="34"/>
        <v>1878</v>
      </c>
      <c r="F144" s="183"/>
      <c r="G144" s="183">
        <f t="shared" si="35"/>
        <v>1878</v>
      </c>
      <c r="H144" s="181">
        <f t="shared" si="36"/>
        <v>2.1879033874056919E-3</v>
      </c>
      <c r="J144" s="136"/>
      <c r="K144" s="136"/>
      <c r="M144" s="237">
        <f t="shared" si="37"/>
        <v>0.32318017552916883</v>
      </c>
      <c r="N144" s="243">
        <f>SUMMARY!M144</f>
        <v>0.23262627607838096</v>
      </c>
    </row>
    <row r="145" spans="1:16" s="43" customFormat="1">
      <c r="A145" s="130" t="s">
        <v>241</v>
      </c>
      <c r="B145" s="116" t="s">
        <v>77</v>
      </c>
      <c r="C145" s="273">
        <f>'[9]Sch C'!D153</f>
        <v>2951</v>
      </c>
      <c r="D145" s="273">
        <f>'[9]Sch C'!F153</f>
        <v>40</v>
      </c>
      <c r="E145" s="259">
        <f t="shared" si="34"/>
        <v>2991</v>
      </c>
      <c r="F145" s="183"/>
      <c r="G145" s="183">
        <f t="shared" si="35"/>
        <v>2991</v>
      </c>
      <c r="H145" s="181">
        <f t="shared" si="36"/>
        <v>3.4845681745103432E-3</v>
      </c>
      <c r="J145" s="136"/>
      <c r="K145" s="136"/>
      <c r="M145" s="237">
        <f t="shared" si="37"/>
        <v>0.51471347444501803</v>
      </c>
      <c r="N145" s="243">
        <f>SUMMARY!M145</f>
        <v>6.7938114503781732E-2</v>
      </c>
    </row>
    <row r="146" spans="1:16" s="43" customFormat="1">
      <c r="A146" s="130" t="s">
        <v>242</v>
      </c>
      <c r="B146" s="116" t="s">
        <v>301</v>
      </c>
      <c r="C146" s="273">
        <f>'[9]Sch C'!D154</f>
        <v>0</v>
      </c>
      <c r="D146" s="273">
        <f>'[9]Sch C'!F154</f>
        <v>0</v>
      </c>
      <c r="E146" s="259">
        <f t="shared" si="34"/>
        <v>0</v>
      </c>
      <c r="F146" s="183"/>
      <c r="G146" s="183">
        <f t="shared" si="35"/>
        <v>0</v>
      </c>
      <c r="H146" s="181">
        <f t="shared" si="36"/>
        <v>0</v>
      </c>
      <c r="J146" s="136"/>
      <c r="K146" s="136"/>
      <c r="M146" s="237">
        <f t="shared" si="37"/>
        <v>0</v>
      </c>
      <c r="N146" s="243">
        <f>SUMMARY!M146</f>
        <v>0.17146635929040169</v>
      </c>
    </row>
    <row r="147" spans="1:16" s="43" customFormat="1">
      <c r="A147" s="42"/>
      <c r="B147" s="116" t="s">
        <v>243</v>
      </c>
      <c r="C147" s="273">
        <f>SUM(C142:C146)</f>
        <v>4553</v>
      </c>
      <c r="D147" s="273">
        <f>SUM(D142:D146)</f>
        <v>391</v>
      </c>
      <c r="E147" s="183">
        <f>SUM(E142:E146)</f>
        <v>4944</v>
      </c>
      <c r="F147" s="183">
        <f>SUM(F142:F146)</f>
        <v>0</v>
      </c>
      <c r="G147" s="183">
        <f t="shared" si="35"/>
        <v>4944</v>
      </c>
      <c r="H147" s="204">
        <f t="shared" si="36"/>
        <v>5.7598478952788816E-3</v>
      </c>
      <c r="J147" s="136"/>
      <c r="K147" s="136"/>
      <c r="M147" s="237">
        <f t="shared" si="37"/>
        <v>0.85080020650490451</v>
      </c>
      <c r="N147" s="243">
        <f>SUMMARY!M147</f>
        <v>3.5319826687546212</v>
      </c>
      <c r="O147" s="238">
        <f>M147/N147-1</f>
        <v>-0.75911540732307814</v>
      </c>
      <c r="P147" s="178">
        <f>IF(O147&gt;=0.2,0.3,0)</f>
        <v>0</v>
      </c>
    </row>
    <row r="148" spans="1:16" s="43" customFormat="1">
      <c r="A148" s="42"/>
      <c r="B148" s="116"/>
      <c r="C148" s="28"/>
      <c r="D148" s="28"/>
      <c r="E148" s="28"/>
      <c r="F148" s="28"/>
      <c r="G148" s="28"/>
      <c r="H148" s="38"/>
      <c r="J148" s="136"/>
      <c r="K148" s="136"/>
    </row>
    <row r="149" spans="1:16" s="43" customFormat="1">
      <c r="A149" s="130" t="s">
        <v>244</v>
      </c>
      <c r="B149" s="205" t="s">
        <v>75</v>
      </c>
      <c r="C149" s="33"/>
      <c r="D149" s="33"/>
      <c r="E149" s="33"/>
      <c r="F149" s="33"/>
      <c r="G149" s="33"/>
      <c r="H149" s="202"/>
      <c r="J149" s="136"/>
      <c r="K149" s="136"/>
    </row>
    <row r="150" spans="1:16" s="43" customFormat="1">
      <c r="A150" s="130" t="s">
        <v>201</v>
      </c>
      <c r="B150" s="116" t="s">
        <v>40</v>
      </c>
      <c r="C150" s="273">
        <f>'[9]Sch C'!D158</f>
        <v>0</v>
      </c>
      <c r="D150" s="273">
        <f>'[9]Sch C'!F158</f>
        <v>0</v>
      </c>
      <c r="E150" s="259">
        <f t="shared" ref="E150:E163" si="38">SUM(C150:D150)</f>
        <v>0</v>
      </c>
      <c r="F150" s="183"/>
      <c r="G150" s="183">
        <f>IF(ISERROR(E150+F150),"",(E150+F150))</f>
        <v>0</v>
      </c>
      <c r="H150" s="181">
        <f>IF(ISERROR(G150/$G$183),"",(G150/$G$183))</f>
        <v>0</v>
      </c>
      <c r="J150" s="261">
        <v>0</v>
      </c>
      <c r="K150" s="261">
        <v>0</v>
      </c>
      <c r="M150" s="237">
        <f t="shared" ref="M150:M164" si="39">IFERROR(G150/G$198,0)</f>
        <v>0</v>
      </c>
      <c r="N150" s="243">
        <f>SUMMARY!M150</f>
        <v>27.311070780732649</v>
      </c>
    </row>
    <row r="151" spans="1:16" s="43" customFormat="1">
      <c r="A151" s="130" t="s">
        <v>202</v>
      </c>
      <c r="B151" s="116" t="s">
        <v>76</v>
      </c>
      <c r="C151" s="273">
        <f>'[9]Sch C'!D159</f>
        <v>0</v>
      </c>
      <c r="D151" s="273">
        <f>'[9]Sch C'!F159</f>
        <v>0</v>
      </c>
      <c r="E151" s="259">
        <f t="shared" si="38"/>
        <v>0</v>
      </c>
      <c r="F151" s="183"/>
      <c r="G151" s="183">
        <f>IF(ISERROR(E151+F151),"",(E151+F151))</f>
        <v>0</v>
      </c>
      <c r="H151" s="181">
        <f>IF(ISERROR(G151/$G$183),"",(G151/$G$183))</f>
        <v>0</v>
      </c>
      <c r="J151" s="136"/>
      <c r="K151" s="136"/>
      <c r="M151" s="237">
        <f t="shared" si="39"/>
        <v>0</v>
      </c>
      <c r="N151" s="243">
        <f>SUMMARY!M151</f>
        <v>3.1968936015834162</v>
      </c>
    </row>
    <row r="152" spans="1:16" s="43" customFormat="1">
      <c r="A152" s="130">
        <v>110</v>
      </c>
      <c r="B152" s="116" t="s">
        <v>331</v>
      </c>
      <c r="C152" s="273">
        <f>'[9]Sch C'!D160</f>
        <v>774</v>
      </c>
      <c r="D152" s="273">
        <f>'[9]Sch C'!F160</f>
        <v>56</v>
      </c>
      <c r="E152" s="259">
        <f t="shared" si="38"/>
        <v>830</v>
      </c>
      <c r="F152" s="183"/>
      <c r="G152" s="183">
        <f t="shared" ref="G152:G163" si="40">IF(ISERROR(E152+F152),"",(E152+F152))</f>
        <v>830</v>
      </c>
      <c r="H152" s="181">
        <f t="shared" ref="H152:H163" si="41">IF(ISERROR(G152/$G$183),"",(G152/$G$183))</f>
        <v>9.6696475588217473E-4</v>
      </c>
      <c r="J152" s="136"/>
      <c r="K152" s="136"/>
      <c r="M152" s="237">
        <f t="shared" si="39"/>
        <v>0.14283255893994148</v>
      </c>
      <c r="N152" s="243">
        <f>SUMMARY!M152</f>
        <v>0.15103073609573975</v>
      </c>
    </row>
    <row r="153" spans="1:16" s="43" customFormat="1">
      <c r="A153" s="42">
        <v>310</v>
      </c>
      <c r="B153" s="116" t="s">
        <v>77</v>
      </c>
      <c r="C153" s="273">
        <f>'[9]Sch C'!D161</f>
        <v>0</v>
      </c>
      <c r="D153" s="273">
        <f>'[9]Sch C'!F161</f>
        <v>0</v>
      </c>
      <c r="E153" s="259">
        <f t="shared" si="38"/>
        <v>0</v>
      </c>
      <c r="F153" s="183"/>
      <c r="G153" s="183">
        <f t="shared" si="40"/>
        <v>0</v>
      </c>
      <c r="H153" s="181">
        <f t="shared" si="41"/>
        <v>0</v>
      </c>
      <c r="J153" s="206"/>
      <c r="K153" s="206"/>
      <c r="M153" s="237">
        <f t="shared" si="39"/>
        <v>0</v>
      </c>
      <c r="N153" s="243">
        <f>SUMMARY!M153</f>
        <v>2.2523409121176359</v>
      </c>
    </row>
    <row r="154" spans="1:16" s="43" customFormat="1">
      <c r="A154" s="42">
        <v>313</v>
      </c>
      <c r="B154" s="116" t="s">
        <v>78</v>
      </c>
      <c r="C154" s="273">
        <f>'[9]Sch C'!D162</f>
        <v>0</v>
      </c>
      <c r="D154" s="273">
        <f>'[9]Sch C'!F162</f>
        <v>0</v>
      </c>
      <c r="E154" s="259">
        <f t="shared" si="38"/>
        <v>0</v>
      </c>
      <c r="F154" s="183"/>
      <c r="G154" s="183">
        <f t="shared" si="40"/>
        <v>0</v>
      </c>
      <c r="H154" s="181">
        <f t="shared" si="41"/>
        <v>0</v>
      </c>
      <c r="J154" s="206"/>
      <c r="K154" s="206"/>
      <c r="M154" s="237">
        <f t="shared" si="39"/>
        <v>0</v>
      </c>
      <c r="N154" s="243">
        <f>SUMMARY!M154</f>
        <v>0.27327250099881978</v>
      </c>
    </row>
    <row r="155" spans="1:16" s="43" customFormat="1">
      <c r="A155" s="42">
        <v>314</v>
      </c>
      <c r="B155" s="116" t="s">
        <v>79</v>
      </c>
      <c r="C155" s="273">
        <f>'[9]Sch C'!D163</f>
        <v>0</v>
      </c>
      <c r="D155" s="273">
        <f>'[9]Sch C'!F163</f>
        <v>0</v>
      </c>
      <c r="E155" s="259">
        <f t="shared" si="38"/>
        <v>0</v>
      </c>
      <c r="F155" s="183"/>
      <c r="G155" s="183">
        <f t="shared" si="40"/>
        <v>0</v>
      </c>
      <c r="H155" s="181">
        <f t="shared" si="41"/>
        <v>0</v>
      </c>
      <c r="J155" s="206"/>
      <c r="K155" s="206"/>
      <c r="M155" s="237">
        <f t="shared" si="39"/>
        <v>0</v>
      </c>
      <c r="N155" s="243">
        <f>SUMMARY!M155</f>
        <v>0.14234674430672722</v>
      </c>
    </row>
    <row r="156" spans="1:16" s="43" customFormat="1">
      <c r="A156" s="42">
        <v>315</v>
      </c>
      <c r="B156" s="116" t="s">
        <v>80</v>
      </c>
      <c r="C156" s="273">
        <f>'[9]Sch C'!D164</f>
        <v>0</v>
      </c>
      <c r="D156" s="273">
        <f>'[9]Sch C'!F164</f>
        <v>0</v>
      </c>
      <c r="E156" s="259">
        <f t="shared" si="38"/>
        <v>0</v>
      </c>
      <c r="F156" s="183"/>
      <c r="G156" s="183">
        <f t="shared" si="40"/>
        <v>0</v>
      </c>
      <c r="H156" s="181">
        <f t="shared" si="41"/>
        <v>0</v>
      </c>
      <c r="J156" s="206"/>
      <c r="K156" s="206"/>
      <c r="M156" s="237">
        <f t="shared" si="39"/>
        <v>0</v>
      </c>
      <c r="N156" s="243">
        <f>SUMMARY!M156</f>
        <v>9.8449188774643301E-2</v>
      </c>
    </row>
    <row r="157" spans="1:16" s="43" customFormat="1">
      <c r="A157" s="42">
        <v>316</v>
      </c>
      <c r="B157" s="116" t="s">
        <v>81</v>
      </c>
      <c r="C157" s="273">
        <f>'[9]Sch C'!D165</f>
        <v>0</v>
      </c>
      <c r="D157" s="273">
        <f>'[9]Sch C'!F165</f>
        <v>0</v>
      </c>
      <c r="E157" s="259">
        <f t="shared" si="38"/>
        <v>0</v>
      </c>
      <c r="F157" s="183"/>
      <c r="G157" s="183">
        <f t="shared" si="40"/>
        <v>0</v>
      </c>
      <c r="H157" s="181">
        <f t="shared" si="41"/>
        <v>0</v>
      </c>
      <c r="J157" s="206"/>
      <c r="K157" s="206"/>
      <c r="M157" s="237">
        <f t="shared" si="39"/>
        <v>0</v>
      </c>
      <c r="N157" s="243">
        <f>SUMMARY!M157</f>
        <v>0.19384451475727532</v>
      </c>
    </row>
    <row r="158" spans="1:16" s="43" customFormat="1">
      <c r="A158" s="42">
        <v>317</v>
      </c>
      <c r="B158" s="116" t="s">
        <v>82</v>
      </c>
      <c r="C158" s="273">
        <f>'[9]Sch C'!D166</f>
        <v>0</v>
      </c>
      <c r="D158" s="273">
        <f>'[9]Sch C'!F166</f>
        <v>0</v>
      </c>
      <c r="E158" s="259">
        <f t="shared" si="38"/>
        <v>0</v>
      </c>
      <c r="F158" s="183"/>
      <c r="G158" s="183">
        <f t="shared" si="40"/>
        <v>0</v>
      </c>
      <c r="H158" s="181">
        <f t="shared" si="41"/>
        <v>0</v>
      </c>
      <c r="J158" s="206"/>
      <c r="K158" s="206"/>
      <c r="M158" s="237">
        <f t="shared" si="39"/>
        <v>0</v>
      </c>
      <c r="N158" s="243">
        <f>SUMMARY!M158</f>
        <v>0.1670026681117025</v>
      </c>
    </row>
    <row r="159" spans="1:16" s="43" customFormat="1">
      <c r="A159" s="42">
        <v>318</v>
      </c>
      <c r="B159" s="116" t="s">
        <v>179</v>
      </c>
      <c r="C159" s="273">
        <f>'[9]Sch C'!D167</f>
        <v>96084</v>
      </c>
      <c r="D159" s="273">
        <f>'[9]Sch C'!F167</f>
        <v>0</v>
      </c>
      <c r="E159" s="259">
        <f t="shared" si="38"/>
        <v>96084</v>
      </c>
      <c r="F159" s="183"/>
      <c r="G159" s="183">
        <f t="shared" si="40"/>
        <v>96084</v>
      </c>
      <c r="H159" s="181">
        <f t="shared" si="41"/>
        <v>0.1119395681978107</v>
      </c>
      <c r="J159" s="206"/>
      <c r="K159" s="206"/>
      <c r="M159" s="237">
        <f t="shared" si="39"/>
        <v>16.534847702632938</v>
      </c>
      <c r="N159" s="243">
        <f>SUMMARY!M159</f>
        <v>10.77506312081816</v>
      </c>
    </row>
    <row r="160" spans="1:16" s="43" customFormat="1">
      <c r="A160" s="42">
        <v>319</v>
      </c>
      <c r="B160" s="116" t="s">
        <v>83</v>
      </c>
      <c r="C160" s="273">
        <f>'[9]Sch C'!D168</f>
        <v>0</v>
      </c>
      <c r="D160" s="273">
        <f>'[9]Sch C'!F168</f>
        <v>0</v>
      </c>
      <c r="E160" s="259">
        <f t="shared" si="38"/>
        <v>0</v>
      </c>
      <c r="F160" s="183"/>
      <c r="G160" s="183">
        <f t="shared" si="40"/>
        <v>0</v>
      </c>
      <c r="H160" s="181">
        <f t="shared" si="41"/>
        <v>0</v>
      </c>
      <c r="J160" s="136"/>
      <c r="K160" s="136"/>
      <c r="M160" s="237">
        <f t="shared" si="39"/>
        <v>0</v>
      </c>
      <c r="N160" s="243">
        <f>SUMMARY!M160</f>
        <v>2.7438658688354449</v>
      </c>
    </row>
    <row r="161" spans="1:16" s="43" customFormat="1">
      <c r="A161" s="42">
        <v>391</v>
      </c>
      <c r="B161" s="116" t="s">
        <v>84</v>
      </c>
      <c r="C161" s="273">
        <f>'[9]Sch C'!D169</f>
        <v>0</v>
      </c>
      <c r="D161" s="273">
        <f>'[9]Sch C'!F169</f>
        <v>0</v>
      </c>
      <c r="E161" s="259">
        <f t="shared" si="38"/>
        <v>0</v>
      </c>
      <c r="F161" s="183"/>
      <c r="G161" s="183">
        <f t="shared" si="40"/>
        <v>0</v>
      </c>
      <c r="H161" s="181">
        <f t="shared" si="41"/>
        <v>0</v>
      </c>
      <c r="J161" s="136"/>
      <c r="K161" s="136"/>
      <c r="M161" s="237">
        <f t="shared" si="39"/>
        <v>0</v>
      </c>
      <c r="N161" s="243">
        <f>SUMMARY!M161</f>
        <v>2.3236910868536945E-3</v>
      </c>
    </row>
    <row r="162" spans="1:16" s="43" customFormat="1">
      <c r="A162" s="42">
        <v>392</v>
      </c>
      <c r="B162" s="116" t="s">
        <v>245</v>
      </c>
      <c r="C162" s="273">
        <f>'[9]Sch C'!D170</f>
        <v>0</v>
      </c>
      <c r="D162" s="273">
        <f>'[9]Sch C'!F170</f>
        <v>0</v>
      </c>
      <c r="E162" s="259">
        <f t="shared" si="38"/>
        <v>0</v>
      </c>
      <c r="F162" s="183"/>
      <c r="G162" s="183">
        <f t="shared" si="40"/>
        <v>0</v>
      </c>
      <c r="H162" s="181">
        <f t="shared" si="41"/>
        <v>0</v>
      </c>
      <c r="J162" s="136"/>
      <c r="K162" s="136"/>
      <c r="M162" s="237">
        <f t="shared" si="39"/>
        <v>0</v>
      </c>
      <c r="N162" s="243">
        <f>SUMMARY!M162</f>
        <v>0.24378550402512894</v>
      </c>
    </row>
    <row r="163" spans="1:16" s="43" customFormat="1">
      <c r="A163" s="42">
        <v>490</v>
      </c>
      <c r="B163" s="116" t="s">
        <v>301</v>
      </c>
      <c r="C163" s="273">
        <f>'[9]Sch C'!D171</f>
        <v>0</v>
      </c>
      <c r="D163" s="273">
        <f>'[9]Sch C'!F171</f>
        <v>0</v>
      </c>
      <c r="E163" s="259">
        <f t="shared" si="38"/>
        <v>0</v>
      </c>
      <c r="F163" s="183"/>
      <c r="G163" s="183">
        <f t="shared" si="40"/>
        <v>0</v>
      </c>
      <c r="H163" s="181">
        <f t="shared" si="41"/>
        <v>0</v>
      </c>
      <c r="J163" s="136"/>
      <c r="K163" s="136"/>
      <c r="M163" s="237">
        <f t="shared" si="39"/>
        <v>0</v>
      </c>
      <c r="N163" s="243">
        <f>SUMMARY!M163</f>
        <v>0.61504337403619636</v>
      </c>
    </row>
    <row r="164" spans="1:16" s="43" customFormat="1">
      <c r="A164" s="42"/>
      <c r="B164" s="205" t="s">
        <v>86</v>
      </c>
      <c r="C164" s="273">
        <f>SUM(C150:C163)</f>
        <v>96858</v>
      </c>
      <c r="D164" s="273">
        <f>SUM(D150:D163)</f>
        <v>56</v>
      </c>
      <c r="E164" s="183">
        <f>SUM(E150:E163)</f>
        <v>96914</v>
      </c>
      <c r="F164" s="183">
        <f>SUM(F150:F163)</f>
        <v>0</v>
      </c>
      <c r="G164" s="183">
        <f>IF(ISERROR(E164+F164),"",(E164+F164))</f>
        <v>96914</v>
      </c>
      <c r="H164" s="181">
        <f>IF(ISERROR(G164/$G$183),"",(G164/$G$183))</f>
        <v>0.11290653295369288</v>
      </c>
      <c r="J164" s="136"/>
      <c r="K164" s="136"/>
      <c r="M164" s="237">
        <f t="shared" si="39"/>
        <v>16.677680261572878</v>
      </c>
      <c r="N164" s="243">
        <f>SUMMARY!M164</f>
        <v>48.166333206280392</v>
      </c>
      <c r="O164" s="238">
        <f>M164/N164-1</f>
        <v>-0.65374818568505266</v>
      </c>
      <c r="P164" s="178">
        <f>IF(O164&gt;=0.2,3.5,0)</f>
        <v>0</v>
      </c>
    </row>
    <row r="165" spans="1:16" s="43" customFormat="1">
      <c r="A165" s="42"/>
      <c r="C165" s="28"/>
      <c r="D165" s="28"/>
      <c r="E165" s="28"/>
      <c r="F165" s="28"/>
      <c r="G165" s="28"/>
      <c r="H165" s="186"/>
      <c r="J165" s="136"/>
      <c r="K165" s="136"/>
    </row>
    <row r="166" spans="1:16" s="43" customFormat="1" ht="25.5">
      <c r="A166" s="207" t="s">
        <v>276</v>
      </c>
      <c r="B166" s="208" t="s">
        <v>277</v>
      </c>
      <c r="C166" s="209"/>
      <c r="D166" s="209"/>
      <c r="E166" s="209"/>
      <c r="F166" s="209"/>
      <c r="G166" s="210"/>
      <c r="H166" s="210"/>
      <c r="I166" s="210"/>
      <c r="J166" s="211"/>
      <c r="K166" s="42"/>
    </row>
    <row r="167" spans="1:16" s="43" customFormat="1">
      <c r="A167" s="207" t="s">
        <v>198</v>
      </c>
      <c r="B167" s="212" t="s">
        <v>278</v>
      </c>
      <c r="C167" s="273">
        <f>'[9]Sch C'!D186</f>
        <v>0</v>
      </c>
      <c r="D167" s="273">
        <f>'[9]Sch C'!F186</f>
        <v>0</v>
      </c>
      <c r="E167" s="259">
        <f t="shared" ref="E167:E180" si="42">SUM(C167:D167)</f>
        <v>0</v>
      </c>
      <c r="F167" s="180"/>
      <c r="G167" s="180">
        <f>IF(ISERROR(E167+F167),"",(E167+F167))</f>
        <v>0</v>
      </c>
      <c r="H167" s="181">
        <f>IF(ISERROR(G167/$G$183),"",(G167/$G$183))</f>
        <v>0</v>
      </c>
      <c r="I167" s="38"/>
      <c r="J167" s="262">
        <v>0</v>
      </c>
      <c r="K167" s="262">
        <v>0</v>
      </c>
      <c r="M167" s="237">
        <f t="shared" ref="M167:M181" si="43">IFERROR(G167/G$198,0)</f>
        <v>0</v>
      </c>
      <c r="N167" s="243">
        <f>SUMMARY!M167</f>
        <v>0</v>
      </c>
    </row>
    <row r="168" spans="1:16" s="43" customFormat="1">
      <c r="A168" s="207" t="s">
        <v>279</v>
      </c>
      <c r="B168" s="213" t="s">
        <v>341</v>
      </c>
      <c r="C168" s="273">
        <f>'[9]Sch C'!D187</f>
        <v>0</v>
      </c>
      <c r="D168" s="273">
        <f>'[9]Sch C'!F187</f>
        <v>0</v>
      </c>
      <c r="E168" s="259">
        <f t="shared" si="42"/>
        <v>0</v>
      </c>
      <c r="F168" s="183"/>
      <c r="G168" s="183">
        <f>IF(ISERROR(E168+F168),"",(E168+F168))</f>
        <v>0</v>
      </c>
      <c r="H168" s="181">
        <f>IF(ISERROR(G168/$G$183),"",(G168/$G$183))</f>
        <v>0</v>
      </c>
      <c r="I168" s="38"/>
      <c r="J168" s="214"/>
      <c r="K168" s="214"/>
      <c r="M168" s="237">
        <f t="shared" si="43"/>
        <v>0</v>
      </c>
      <c r="N168" s="243">
        <f>SUMMARY!M168</f>
        <v>0</v>
      </c>
    </row>
    <row r="169" spans="1:16" s="43" customFormat="1">
      <c r="A169" s="207" t="s">
        <v>280</v>
      </c>
      <c r="B169" s="213" t="s">
        <v>281</v>
      </c>
      <c r="C169" s="273">
        <f>'[9]Sch C'!D188</f>
        <v>0</v>
      </c>
      <c r="D169" s="273">
        <f>'[9]Sch C'!F188</f>
        <v>0</v>
      </c>
      <c r="E169" s="259">
        <f t="shared" si="42"/>
        <v>0</v>
      </c>
      <c r="F169" s="183"/>
      <c r="G169" s="183">
        <f>IF(ISERROR(E169+F169),"",(E169+F169))</f>
        <v>0</v>
      </c>
      <c r="H169" s="181">
        <f>IF(ISERROR(G169/$G$183),"",(G169/$G$183))</f>
        <v>0</v>
      </c>
      <c r="I169" s="215"/>
      <c r="J169" s="211"/>
      <c r="K169" s="42"/>
      <c r="M169" s="237">
        <f t="shared" si="43"/>
        <v>0</v>
      </c>
      <c r="N169" s="243">
        <f>SUMMARY!M169</f>
        <v>2.7553649251229581E-4</v>
      </c>
    </row>
    <row r="170" spans="1:16" s="43" customFormat="1">
      <c r="A170" s="207" t="s">
        <v>202</v>
      </c>
      <c r="B170" s="213" t="s">
        <v>282</v>
      </c>
      <c r="C170" s="273">
        <f>'[9]Sch C'!D189</f>
        <v>3043</v>
      </c>
      <c r="D170" s="273">
        <f>'[9]Sch C'!F189</f>
        <v>0</v>
      </c>
      <c r="E170" s="259">
        <f t="shared" si="42"/>
        <v>3043</v>
      </c>
      <c r="F170" s="183"/>
      <c r="G170" s="183">
        <f>IF(ISERROR(E170+F170),"",(E170+F170))</f>
        <v>3043</v>
      </c>
      <c r="H170" s="181">
        <f>IF(ISERROR(G170/$G$183),"",(G170/$G$183))</f>
        <v>3.5451490989752503E-3</v>
      </c>
      <c r="I170" s="215"/>
      <c r="J170" s="211"/>
      <c r="K170" s="42"/>
      <c r="M170" s="237">
        <f t="shared" si="43"/>
        <v>0.52366202030631559</v>
      </c>
      <c r="N170" s="243">
        <f>SUMMARY!M170</f>
        <v>0.2862181238720225</v>
      </c>
    </row>
    <row r="171" spans="1:16" s="43" customFormat="1">
      <c r="A171" s="207" t="s">
        <v>283</v>
      </c>
      <c r="B171" s="213" t="s">
        <v>284</v>
      </c>
      <c r="C171" s="273">
        <f>'[9]Sch C'!D190</f>
        <v>0</v>
      </c>
      <c r="D171" s="273">
        <f>'[9]Sch C'!F190</f>
        <v>0</v>
      </c>
      <c r="E171" s="259">
        <f t="shared" si="42"/>
        <v>0</v>
      </c>
      <c r="F171" s="183"/>
      <c r="G171" s="183">
        <f>IF(ISERROR(E171+F171),"",(E171+F171))</f>
        <v>0</v>
      </c>
      <c r="H171" s="181">
        <f>IF(ISERROR(G171/$G$183),"",(G171/$G$183))</f>
        <v>0</v>
      </c>
      <c r="I171" s="215"/>
      <c r="J171" s="211"/>
      <c r="K171" s="42"/>
      <c r="M171" s="237">
        <f t="shared" si="43"/>
        <v>0</v>
      </c>
      <c r="N171" s="243">
        <f>SUMMARY!M171</f>
        <v>6.6542062941719439E-3</v>
      </c>
    </row>
    <row r="172" spans="1:16" s="43" customFormat="1">
      <c r="A172" s="207" t="s">
        <v>285</v>
      </c>
      <c r="B172" s="213" t="s">
        <v>286</v>
      </c>
      <c r="C172" s="273">
        <f>'[9]Sch C'!D191</f>
        <v>0</v>
      </c>
      <c r="D172" s="273">
        <f>'[9]Sch C'!F191</f>
        <v>0</v>
      </c>
      <c r="E172" s="259">
        <f t="shared" si="42"/>
        <v>0</v>
      </c>
      <c r="F172" s="183"/>
      <c r="G172" s="183">
        <f t="shared" ref="G172:G181" si="44">IF(ISERROR(E172+F172),"",(E172+F172))</f>
        <v>0</v>
      </c>
      <c r="H172" s="181">
        <f t="shared" ref="H172:H180" si="45">IF(ISERROR(G172/$G$183),"",(G172/$G$183))</f>
        <v>0</v>
      </c>
      <c r="I172" s="215"/>
      <c r="J172" s="211"/>
      <c r="K172" s="42"/>
      <c r="M172" s="237">
        <f t="shared" si="43"/>
        <v>0</v>
      </c>
      <c r="N172" s="243">
        <f>SUMMARY!M172</f>
        <v>0.28776112823009137</v>
      </c>
    </row>
    <row r="173" spans="1:16" s="43" customFormat="1">
      <c r="A173" s="207" t="s">
        <v>287</v>
      </c>
      <c r="B173" s="213" t="s">
        <v>288</v>
      </c>
      <c r="C173" s="273">
        <f>'[9]Sch C'!D192</f>
        <v>0</v>
      </c>
      <c r="D173" s="273">
        <f>'[9]Sch C'!F192</f>
        <v>0</v>
      </c>
      <c r="E173" s="259">
        <f t="shared" si="42"/>
        <v>0</v>
      </c>
      <c r="F173" s="183"/>
      <c r="G173" s="183">
        <f t="shared" si="44"/>
        <v>0</v>
      </c>
      <c r="H173" s="181">
        <f t="shared" si="45"/>
        <v>0</v>
      </c>
      <c r="I173" s="215"/>
      <c r="J173" s="211"/>
      <c r="K173" s="42"/>
      <c r="M173" s="237">
        <f t="shared" si="43"/>
        <v>0</v>
      </c>
      <c r="N173" s="243">
        <f>SUMMARY!M173</f>
        <v>7.0987385020917809E-2</v>
      </c>
    </row>
    <row r="174" spans="1:16" s="43" customFormat="1">
      <c r="A174" s="207" t="s">
        <v>289</v>
      </c>
      <c r="B174" s="213" t="s">
        <v>290</v>
      </c>
      <c r="C174" s="273">
        <f>'[9]Sch C'!D193</f>
        <v>0</v>
      </c>
      <c r="D174" s="273">
        <f>'[9]Sch C'!F193</f>
        <v>0</v>
      </c>
      <c r="E174" s="259">
        <f t="shared" si="42"/>
        <v>0</v>
      </c>
      <c r="F174" s="183"/>
      <c r="G174" s="183">
        <f t="shared" si="44"/>
        <v>0</v>
      </c>
      <c r="H174" s="181">
        <f t="shared" si="45"/>
        <v>0</v>
      </c>
      <c r="I174" s="215"/>
      <c r="J174" s="211"/>
      <c r="K174" s="42"/>
      <c r="M174" s="237">
        <f t="shared" si="43"/>
        <v>0</v>
      </c>
      <c r="N174" s="243">
        <f>SUMMARY!M174</f>
        <v>0</v>
      </c>
    </row>
    <row r="175" spans="1:16" s="43" customFormat="1">
      <c r="A175" s="207" t="s">
        <v>291</v>
      </c>
      <c r="B175" s="213" t="s">
        <v>292</v>
      </c>
      <c r="C175" s="273">
        <f>'[9]Sch C'!D194</f>
        <v>0</v>
      </c>
      <c r="D175" s="273">
        <f>'[9]Sch C'!F194</f>
        <v>0</v>
      </c>
      <c r="E175" s="259">
        <f t="shared" si="42"/>
        <v>0</v>
      </c>
      <c r="F175" s="183"/>
      <c r="G175" s="183">
        <f t="shared" si="44"/>
        <v>0</v>
      </c>
      <c r="H175" s="181">
        <f t="shared" si="45"/>
        <v>0</v>
      </c>
      <c r="I175" s="215"/>
      <c r="J175" s="211"/>
      <c r="K175" s="42"/>
      <c r="M175" s="237">
        <f t="shared" si="43"/>
        <v>0</v>
      </c>
      <c r="N175" s="243">
        <f>SUMMARY!M175</f>
        <v>1.2095271334561002E-2</v>
      </c>
    </row>
    <row r="176" spans="1:16" s="43" customFormat="1">
      <c r="A176" s="207" t="s">
        <v>293</v>
      </c>
      <c r="B176" s="213" t="s">
        <v>294</v>
      </c>
      <c r="C176" s="273">
        <f>'[9]Sch C'!D195</f>
        <v>0</v>
      </c>
      <c r="D176" s="273">
        <f>'[9]Sch C'!F195</f>
        <v>0</v>
      </c>
      <c r="E176" s="259">
        <f t="shared" si="42"/>
        <v>0</v>
      </c>
      <c r="F176" s="183"/>
      <c r="G176" s="183">
        <f t="shared" si="44"/>
        <v>0</v>
      </c>
      <c r="H176" s="181">
        <f t="shared" si="45"/>
        <v>0</v>
      </c>
      <c r="I176" s="215"/>
      <c r="J176" s="211"/>
      <c r="K176" s="42"/>
      <c r="M176" s="237">
        <f t="shared" si="43"/>
        <v>0</v>
      </c>
      <c r="N176" s="243">
        <f>SUMMARY!M176</f>
        <v>0</v>
      </c>
    </row>
    <row r="177" spans="1:16" s="43" customFormat="1">
      <c r="A177" s="207" t="s">
        <v>295</v>
      </c>
      <c r="B177" s="213" t="s">
        <v>296</v>
      </c>
      <c r="C177" s="273">
        <f>'[9]Sch C'!D196</f>
        <v>0</v>
      </c>
      <c r="D177" s="273">
        <f>'[9]Sch C'!F196</f>
        <v>0</v>
      </c>
      <c r="E177" s="259">
        <f t="shared" si="42"/>
        <v>0</v>
      </c>
      <c r="F177" s="183"/>
      <c r="G177" s="183">
        <f t="shared" si="44"/>
        <v>0</v>
      </c>
      <c r="H177" s="181">
        <f t="shared" si="45"/>
        <v>0</v>
      </c>
      <c r="I177" s="215"/>
      <c r="J177" s="211"/>
      <c r="K177" s="42"/>
      <c r="M177" s="237">
        <f t="shared" si="43"/>
        <v>0</v>
      </c>
      <c r="N177" s="243">
        <f>SUMMARY!M177</f>
        <v>0</v>
      </c>
    </row>
    <row r="178" spans="1:16" s="43" customFormat="1">
      <c r="A178" s="207" t="s">
        <v>297</v>
      </c>
      <c r="B178" s="213" t="s">
        <v>298</v>
      </c>
      <c r="C178" s="273">
        <f>'[9]Sch C'!D197</f>
        <v>0</v>
      </c>
      <c r="D178" s="273">
        <f>'[9]Sch C'!F197</f>
        <v>0</v>
      </c>
      <c r="E178" s="259">
        <f t="shared" si="42"/>
        <v>0</v>
      </c>
      <c r="F178" s="183"/>
      <c r="G178" s="183">
        <f t="shared" si="44"/>
        <v>0</v>
      </c>
      <c r="H178" s="181">
        <f t="shared" si="45"/>
        <v>0</v>
      </c>
      <c r="I178" s="215"/>
      <c r="J178" s="211"/>
      <c r="K178" s="42"/>
      <c r="M178" s="237">
        <f t="shared" si="43"/>
        <v>0</v>
      </c>
      <c r="N178" s="243">
        <f>SUMMARY!M178</f>
        <v>0.12329918211584473</v>
      </c>
    </row>
    <row r="179" spans="1:16" s="43" customFormat="1">
      <c r="A179" s="207" t="s">
        <v>299</v>
      </c>
      <c r="B179" s="213" t="s">
        <v>300</v>
      </c>
      <c r="C179" s="273">
        <f>'[9]Sch C'!D198</f>
        <v>0</v>
      </c>
      <c r="D179" s="273">
        <f>'[9]Sch C'!F198</f>
        <v>0</v>
      </c>
      <c r="E179" s="259">
        <f t="shared" si="42"/>
        <v>0</v>
      </c>
      <c r="F179" s="183"/>
      <c r="G179" s="183">
        <f t="shared" si="44"/>
        <v>0</v>
      </c>
      <c r="H179" s="181">
        <f t="shared" si="45"/>
        <v>0</v>
      </c>
      <c r="I179" s="215"/>
      <c r="J179" s="211"/>
      <c r="K179" s="42"/>
      <c r="M179" s="237">
        <f t="shared" si="43"/>
        <v>0</v>
      </c>
      <c r="N179" s="243">
        <f>SUMMARY!M179</f>
        <v>0</v>
      </c>
    </row>
    <row r="180" spans="1:16" s="43" customFormat="1">
      <c r="A180" s="207" t="s">
        <v>242</v>
      </c>
      <c r="B180" s="216" t="s">
        <v>301</v>
      </c>
      <c r="C180" s="273">
        <f>'[9]Sch C'!D199</f>
        <v>217</v>
      </c>
      <c r="D180" s="273">
        <f>'[9]Sch C'!F199</f>
        <v>0</v>
      </c>
      <c r="E180" s="259">
        <f t="shared" si="42"/>
        <v>217</v>
      </c>
      <c r="F180" s="183"/>
      <c r="G180" s="183">
        <f t="shared" si="44"/>
        <v>217</v>
      </c>
      <c r="H180" s="181">
        <f t="shared" si="45"/>
        <v>2.52808857863171E-4</v>
      </c>
      <c r="I180" s="215"/>
      <c r="J180" s="211"/>
      <c r="K180" s="42"/>
      <c r="M180" s="237">
        <f t="shared" si="43"/>
        <v>3.7342970228876268E-2</v>
      </c>
      <c r="N180" s="243">
        <f>SUMMARY!M180</f>
        <v>5.3040774808616941E-3</v>
      </c>
    </row>
    <row r="181" spans="1:16" s="43" customFormat="1">
      <c r="A181" s="217"/>
      <c r="B181" s="213" t="s">
        <v>302</v>
      </c>
      <c r="C181" s="273">
        <f>SUM(C167:C180)</f>
        <v>3260</v>
      </c>
      <c r="D181" s="273">
        <f>SUM(D167:D180)</f>
        <v>0</v>
      </c>
      <c r="E181" s="218">
        <f>SUM(E167:E180)</f>
        <v>3260</v>
      </c>
      <c r="F181" s="218">
        <f>SUM(F167:F180)</f>
        <v>0</v>
      </c>
      <c r="G181" s="183">
        <f t="shared" si="44"/>
        <v>3260</v>
      </c>
      <c r="H181" s="181">
        <f>IF(ISERROR(G181/$G$183),"",(G181/$G$183))</f>
        <v>3.7979579568384212E-3</v>
      </c>
      <c r="I181" s="219"/>
      <c r="J181" s="211"/>
      <c r="K181" s="211"/>
      <c r="M181" s="237">
        <f t="shared" si="43"/>
        <v>0.56100499053519193</v>
      </c>
      <c r="N181" s="243">
        <f>SUMMARY!M181</f>
        <v>0.79259491084098332</v>
      </c>
      <c r="O181" s="238"/>
      <c r="P181" s="178"/>
    </row>
    <row r="182" spans="1:16" s="43" customFormat="1">
      <c r="A182" s="42"/>
      <c r="C182" s="28"/>
      <c r="D182" s="28"/>
      <c r="E182" s="28"/>
      <c r="F182" s="28"/>
      <c r="G182" s="28"/>
      <c r="H182" s="186"/>
      <c r="J182" s="136"/>
      <c r="K182" s="136"/>
    </row>
    <row r="183" spans="1:16" s="43" customFormat="1">
      <c r="A183" s="220"/>
      <c r="B183" s="221" t="s">
        <v>246</v>
      </c>
      <c r="C183" s="273">
        <f>SUM(C21:C181)/2</f>
        <v>840934</v>
      </c>
      <c r="D183" s="273">
        <f>SUM(D21:D181)/2</f>
        <v>17422</v>
      </c>
      <c r="E183" s="258">
        <f>SUM(E21:E181)/2</f>
        <v>858356</v>
      </c>
      <c r="F183" s="179">
        <f>SUM(F21:F181)/2</f>
        <v>0</v>
      </c>
      <c r="G183" s="179">
        <f>SUM(G21:G181)/2</f>
        <v>858356</v>
      </c>
      <c r="H183" s="181">
        <f>IF(ISERROR(G183/$G$183),"",(G183/$G$183))</f>
        <v>1</v>
      </c>
      <c r="J183" s="261">
        <f>SUM(J21:J181)</f>
        <v>26518</v>
      </c>
      <c r="K183" s="261">
        <f>SUM(K21:K181)</f>
        <v>27483</v>
      </c>
      <c r="M183" s="237">
        <f>IFERROR(G183/G$198,0)</f>
        <v>147.7122698330752</v>
      </c>
      <c r="N183" s="243">
        <f>SUMMARY!M183</f>
        <v>169.52310231129192</v>
      </c>
      <c r="P183" s="178">
        <f>SUM(P57:P181)</f>
        <v>1.6</v>
      </c>
    </row>
    <row r="184" spans="1:16" s="43" customFormat="1">
      <c r="A184" s="42"/>
      <c r="B184" s="116"/>
      <c r="C184" s="28"/>
      <c r="D184" s="28"/>
      <c r="E184" s="28"/>
      <c r="F184" s="28"/>
      <c r="G184" s="28"/>
      <c r="J184" s="136"/>
      <c r="K184" s="136"/>
    </row>
    <row r="185" spans="1:16" s="43" customFormat="1">
      <c r="A185" s="42"/>
      <c r="B185" s="116"/>
      <c r="C185" s="28"/>
      <c r="D185" s="28"/>
      <c r="E185" s="28"/>
      <c r="F185" s="28"/>
      <c r="G185" s="28"/>
      <c r="J185" s="136"/>
      <c r="K185" s="136"/>
    </row>
    <row r="186" spans="1:16" s="43" customFormat="1" ht="13.5" thickBot="1">
      <c r="A186" s="42"/>
      <c r="B186" s="222" t="s">
        <v>146</v>
      </c>
      <c r="C186" s="281">
        <f>'[9]Sch C'!D204</f>
        <v>840934</v>
      </c>
      <c r="D186" s="28"/>
      <c r="E186" s="28"/>
      <c r="F186" s="28"/>
      <c r="G186" s="28"/>
      <c r="J186" s="136"/>
      <c r="K186" s="136"/>
      <c r="M186" s="237"/>
      <c r="N186" s="243"/>
    </row>
    <row r="187" spans="1:16" s="43" customFormat="1" ht="13.5" thickTop="1">
      <c r="A187" s="42"/>
      <c r="B187" s="116" t="s">
        <v>180</v>
      </c>
      <c r="C187" s="273">
        <f>C183-C186</f>
        <v>0</v>
      </c>
      <c r="D187"/>
      <c r="E187" s="28"/>
      <c r="F187" s="28"/>
      <c r="G187" s="28"/>
      <c r="J187" s="136"/>
      <c r="K187" s="136"/>
    </row>
    <row r="188" spans="1:16" s="43" customFormat="1">
      <c r="A188" s="42"/>
      <c r="B188" s="223"/>
      <c r="C188" s="311"/>
      <c r="D188" s="311"/>
      <c r="E188" s="36"/>
      <c r="F188" s="36"/>
      <c r="G188" s="36"/>
      <c r="H188" s="178"/>
      <c r="J188" s="136"/>
      <c r="K188" s="136"/>
    </row>
    <row r="189" spans="1:16" s="43" customFormat="1">
      <c r="A189" s="42"/>
      <c r="B189" s="221"/>
      <c r="C189" s="28"/>
      <c r="D189" s="28"/>
      <c r="E189" s="28"/>
      <c r="F189" s="28"/>
      <c r="G189" s="28"/>
      <c r="J189" s="136"/>
      <c r="K189" s="136"/>
    </row>
    <row r="190" spans="1:16" s="43" customFormat="1">
      <c r="A190" s="42"/>
      <c r="B190" s="221" t="s">
        <v>247</v>
      </c>
      <c r="C190" s="273">
        <f>C17-C183</f>
        <v>83605</v>
      </c>
      <c r="D190" s="273">
        <f>D17-D183</f>
        <v>-17422</v>
      </c>
      <c r="E190" s="259">
        <f>E17-E183</f>
        <v>66183</v>
      </c>
      <c r="F190" s="180">
        <f>F17-F183</f>
        <v>0</v>
      </c>
      <c r="G190" s="180">
        <f>G17-G183</f>
        <v>66183</v>
      </c>
      <c r="J190" s="136"/>
      <c r="K190" s="136"/>
      <c r="M190" s="237">
        <f>IFERROR(G190/G$198,0)</f>
        <v>11.389261744966444</v>
      </c>
      <c r="N190" s="243">
        <f>SUMMARY!M190</f>
        <v>7.5236963679698476</v>
      </c>
    </row>
    <row r="191" spans="1:16" s="43" customFormat="1">
      <c r="A191" s="42"/>
      <c r="B191" s="221"/>
      <c r="C191" s="28"/>
      <c r="D191" s="28"/>
      <c r="E191" s="28"/>
      <c r="F191" s="28"/>
      <c r="G191" s="28"/>
      <c r="J191" s="136"/>
      <c r="K191" s="136"/>
    </row>
    <row r="192" spans="1:16" s="43" customFormat="1">
      <c r="A192" s="42"/>
      <c r="B192" s="221"/>
      <c r="C192" s="28"/>
      <c r="D192" s="28"/>
      <c r="E192" s="28"/>
      <c r="F192" s="28"/>
      <c r="G192" s="28"/>
      <c r="J192" s="136"/>
      <c r="K192" s="136"/>
    </row>
    <row r="193" spans="1:11">
      <c r="A193" s="42"/>
      <c r="B193" s="177" t="s">
        <v>159</v>
      </c>
      <c r="C193" s="28"/>
      <c r="D193" s="28"/>
      <c r="E193" s="28"/>
      <c r="F193" s="28"/>
      <c r="G193" s="28"/>
      <c r="H193" s="178"/>
      <c r="I193" s="43"/>
      <c r="J193" s="136"/>
      <c r="K193" s="136"/>
    </row>
    <row r="194" spans="1:11">
      <c r="A194" s="42"/>
      <c r="B194" s="116" t="s">
        <v>248</v>
      </c>
      <c r="C194" s="282">
        <f>'[9]Sch D'!C9</f>
        <v>5811</v>
      </c>
      <c r="D194" s="313"/>
      <c r="E194" s="264">
        <f>C194+D194</f>
        <v>5811</v>
      </c>
      <c r="F194" s="224"/>
      <c r="G194" s="225">
        <f>E194+F194</f>
        <v>5811</v>
      </c>
      <c r="H194" s="181">
        <f>IF(ISERROR(G194/$G$198),"",(G194/$G$198))</f>
        <v>1</v>
      </c>
      <c r="I194" s="43"/>
      <c r="J194" s="136"/>
      <c r="K194" s="136"/>
    </row>
    <row r="195" spans="1:11">
      <c r="A195" s="42"/>
      <c r="B195" s="116" t="s">
        <v>249</v>
      </c>
      <c r="C195" s="282">
        <f>'[9]Sch D'!D9</f>
        <v>0</v>
      </c>
      <c r="D195" s="313"/>
      <c r="E195" s="227">
        <f>C195+D195</f>
        <v>0</v>
      </c>
      <c r="F195" s="226"/>
      <c r="G195" s="227">
        <f>E195+F195</f>
        <v>0</v>
      </c>
      <c r="H195" s="181">
        <f>IF(ISERROR(G195/$G$198),"",(G195/$G$198))</f>
        <v>0</v>
      </c>
      <c r="I195" s="43"/>
      <c r="J195" s="136"/>
      <c r="K195" s="136"/>
    </row>
    <row r="196" spans="1:11">
      <c r="A196" s="42"/>
      <c r="B196" s="116" t="s">
        <v>87</v>
      </c>
      <c r="C196" s="282">
        <f>'[9]Sch D'!E9</f>
        <v>0</v>
      </c>
      <c r="D196" s="313"/>
      <c r="E196" s="227">
        <f>C196+D196</f>
        <v>0</v>
      </c>
      <c r="F196" s="226"/>
      <c r="G196" s="227">
        <f>E196+F196</f>
        <v>0</v>
      </c>
      <c r="H196" s="181">
        <f>IF(ISERROR(G196/$G$198),"",(G196/$G$198))</f>
        <v>0</v>
      </c>
      <c r="I196" s="43"/>
      <c r="J196" s="136"/>
      <c r="K196" s="136"/>
    </row>
    <row r="197" spans="1:11">
      <c r="A197" s="42"/>
      <c r="B197" s="116" t="s">
        <v>342</v>
      </c>
      <c r="C197" s="282">
        <f>'[9]Sch D'!F9</f>
        <v>0</v>
      </c>
      <c r="D197" s="313"/>
      <c r="E197" s="227">
        <f>C197+D197</f>
        <v>0</v>
      </c>
      <c r="F197" s="226"/>
      <c r="G197" s="227">
        <f>E197+F197</f>
        <v>0</v>
      </c>
      <c r="H197" s="181">
        <f>IF(ISERROR(G197/$G$198),"",(G197/$G$198))</f>
        <v>0</v>
      </c>
      <c r="I197" s="43"/>
      <c r="J197" s="136"/>
      <c r="K197" s="136"/>
    </row>
    <row r="198" spans="1:11">
      <c r="A198" s="42"/>
      <c r="B198" s="228" t="s">
        <v>89</v>
      </c>
      <c r="C198" s="282">
        <f>SUM(C194:C197)</f>
        <v>5811</v>
      </c>
      <c r="D198" s="313"/>
      <c r="E198" s="265">
        <f>SUM(E194:E197)</f>
        <v>5811</v>
      </c>
      <c r="F198" s="229">
        <f>SUM(F194:F197)</f>
        <v>0</v>
      </c>
      <c r="G198" s="229">
        <f>SUM(G194:G197)</f>
        <v>5811</v>
      </c>
      <c r="H198" s="181">
        <f>IF(ISERROR(G198/$G$198),"",(G198/$G$198))</f>
        <v>1</v>
      </c>
      <c r="I198" s="43"/>
      <c r="J198" s="136"/>
      <c r="K198" s="136"/>
    </row>
    <row r="199" spans="1:11">
      <c r="A199" s="42"/>
      <c r="B199" s="43"/>
      <c r="C199" s="314"/>
      <c r="D199" s="230"/>
      <c r="E199" s="36"/>
      <c r="F199" s="230"/>
      <c r="G199" s="36"/>
      <c r="H199" s="43"/>
      <c r="I199" s="43"/>
      <c r="J199" s="136"/>
      <c r="K199" s="136"/>
    </row>
    <row r="200" spans="1:11">
      <c r="A200" s="42"/>
      <c r="B200" s="177" t="s">
        <v>160</v>
      </c>
      <c r="C200" s="315"/>
      <c r="D200" s="36"/>
      <c r="E200" s="36"/>
      <c r="F200" s="36"/>
      <c r="G200" s="36"/>
      <c r="H200" s="43"/>
      <c r="I200" s="43"/>
      <c r="J200" s="136"/>
      <c r="K200" s="136"/>
    </row>
    <row r="201" spans="1:11">
      <c r="A201" s="42"/>
      <c r="B201" s="118" t="s">
        <v>250</v>
      </c>
      <c r="C201" s="274">
        <f>'[9]Sch D'!G22</f>
        <v>16</v>
      </c>
      <c r="D201" s="312"/>
      <c r="E201" s="264">
        <f>C201+D201</f>
        <v>16</v>
      </c>
      <c r="F201" s="224"/>
      <c r="G201" s="231">
        <f>E201+F201</f>
        <v>16</v>
      </c>
      <c r="H201" s="43"/>
      <c r="I201" s="43"/>
      <c r="J201" s="136"/>
      <c r="K201" s="136"/>
    </row>
    <row r="202" spans="1:11">
      <c r="A202" s="42"/>
      <c r="B202" s="118" t="s">
        <v>310</v>
      </c>
      <c r="C202" s="274">
        <f>'[9]Sch D'!G24</f>
        <v>16</v>
      </c>
      <c r="D202" s="312"/>
      <c r="E202" s="264">
        <f>C202+D202</f>
        <v>16</v>
      </c>
      <c r="F202" s="226"/>
      <c r="G202" s="231">
        <f>E202+F202</f>
        <v>16</v>
      </c>
      <c r="H202" s="43"/>
      <c r="I202" s="43"/>
      <c r="J202" s="136"/>
      <c r="K202" s="136"/>
    </row>
    <row r="203" spans="1:11">
      <c r="A203" s="42"/>
      <c r="B203" s="118" t="s">
        <v>90</v>
      </c>
      <c r="C203" s="274">
        <f>$C$4-$C$3+1</f>
        <v>366</v>
      </c>
      <c r="D203" s="36"/>
      <c r="E203" s="231">
        <f>C203</f>
        <v>366</v>
      </c>
      <c r="F203" s="339"/>
      <c r="G203" s="231">
        <f>C203</f>
        <v>366</v>
      </c>
      <c r="H203" s="43"/>
      <c r="I203" s="43"/>
      <c r="J203" s="136"/>
      <c r="K203" s="136"/>
    </row>
    <row r="204" spans="1:11">
      <c r="A204" s="42"/>
      <c r="B204" s="118"/>
      <c r="C204" s="315"/>
      <c r="D204" s="36"/>
      <c r="E204" s="36"/>
      <c r="F204" s="36"/>
      <c r="G204" s="36"/>
      <c r="H204" s="43"/>
      <c r="I204" s="43"/>
      <c r="J204" s="136"/>
      <c r="K204" s="136"/>
    </row>
    <row r="205" spans="1:11" ht="39">
      <c r="A205" s="42"/>
      <c r="B205" s="232" t="s">
        <v>329</v>
      </c>
      <c r="C205" s="282">
        <f>'[9]Sch D'!G28</f>
        <v>5856</v>
      </c>
      <c r="D205" s="283"/>
      <c r="E205" s="260">
        <f>E201*E203</f>
        <v>5856</v>
      </c>
      <c r="F205" s="260">
        <f>G201*F203</f>
        <v>0</v>
      </c>
      <c r="G205" s="224">
        <f>G201*G203</f>
        <v>5856</v>
      </c>
      <c r="H205" s="43"/>
      <c r="I205" s="43"/>
      <c r="J205" s="136"/>
      <c r="K205" s="136"/>
    </row>
    <row r="206" spans="1:11" ht="39">
      <c r="A206" s="42"/>
      <c r="B206" s="232" t="s">
        <v>343</v>
      </c>
      <c r="C206" s="275">
        <f>'[9]Sch D'!G30</f>
        <v>0.99231557377049184</v>
      </c>
      <c r="D206" s="36"/>
      <c r="E206" s="266">
        <f>IFERROR(E198/E205,"0")</f>
        <v>0.99231557377049184</v>
      </c>
      <c r="F206" s="337" t="str">
        <f>IFERROR(F198/F205,"")</f>
        <v/>
      </c>
      <c r="G206" s="233">
        <f>G198/G205</f>
        <v>0.99231557377049184</v>
      </c>
      <c r="H206" s="43"/>
      <c r="I206" s="43"/>
      <c r="J206" s="136"/>
      <c r="K206" s="136"/>
    </row>
    <row r="207" spans="1:11" ht="39">
      <c r="A207" s="42"/>
      <c r="B207" s="232" t="s">
        <v>344</v>
      </c>
      <c r="C207" s="275">
        <f>'[9]Sch D'!G32</f>
        <v>0.99231557377049184</v>
      </c>
      <c r="D207" s="36"/>
      <c r="E207" s="266">
        <f>IFERROR((E194+E195)/E205,"0")</f>
        <v>0.99231557377049184</v>
      </c>
      <c r="F207" s="337" t="str">
        <f>IFERROR(((F194+F195)/F205),"")</f>
        <v/>
      </c>
      <c r="G207" s="233">
        <f>(G194+G195)/G205</f>
        <v>0.99231557377049184</v>
      </c>
      <c r="H207" s="43"/>
      <c r="I207" s="43"/>
      <c r="J207" s="136"/>
      <c r="K207" s="136"/>
    </row>
    <row r="208" spans="1:11" ht="39">
      <c r="A208" s="42"/>
      <c r="B208" s="232" t="s">
        <v>330</v>
      </c>
      <c r="C208" s="275">
        <f>'[9]Sch D'!G34</f>
        <v>1</v>
      </c>
      <c r="D208" s="36"/>
      <c r="E208" s="266">
        <f>IFERROR(E207/E206,"0")</f>
        <v>1</v>
      </c>
      <c r="F208" s="337" t="str">
        <f>IFERROR(F207/F206,"")</f>
        <v/>
      </c>
      <c r="G208" s="233">
        <f>G207/G206</f>
        <v>1</v>
      </c>
      <c r="H208" s="43"/>
      <c r="I208" s="43"/>
      <c r="J208" s="136"/>
      <c r="K208" s="136"/>
    </row>
    <row r="209" spans="1:11">
      <c r="A209" s="42"/>
      <c r="C209" s="28"/>
      <c r="D209" s="28"/>
      <c r="E209" s="28"/>
      <c r="F209" s="28"/>
      <c r="G209" s="28"/>
      <c r="H209" s="178"/>
      <c r="I209" s="43"/>
      <c r="J209" s="136"/>
      <c r="K209" s="136"/>
    </row>
    <row r="210" spans="1:11">
      <c r="B210" s="52" t="s">
        <v>345</v>
      </c>
      <c r="F210" s="51" t="s">
        <v>305</v>
      </c>
      <c r="G210" s="234"/>
    </row>
    <row r="211" spans="1:11">
      <c r="F211" s="51" t="s">
        <v>306</v>
      </c>
      <c r="G211" s="234"/>
    </row>
    <row r="212" spans="1:11">
      <c r="F212" s="51" t="s">
        <v>307</v>
      </c>
      <c r="G212" s="234"/>
    </row>
    <row r="213" spans="1:11">
      <c r="F213" s="51" t="s">
        <v>308</v>
      </c>
      <c r="G213" s="234"/>
    </row>
  </sheetData>
  <conditionalFormatting sqref="D2">
    <cfRule type="cellIs" dxfId="19" priority="2" stopIfTrue="1" operator="equal">
      <formula>0</formula>
    </cfRule>
  </conditionalFormatting>
  <conditionalFormatting sqref="C2">
    <cfRule type="cellIs" dxfId="18" priority="1" stopIfTrue="1" operator="equal">
      <formula>0</formula>
    </cfRule>
  </conditionalFormatting>
  <printOptions horizontalCentered="1" gridLinesSet="0"/>
  <pageMargins left="0.75" right="0.75" top="0.25" bottom="0.75" header="0.5" footer="0.5"/>
  <pageSetup scale="36" fitToHeight="2" orientation="landscape" r:id="rId1"/>
  <headerFooter alignWithMargins="0">
    <oddFooter>Page &amp;P</oddFooter>
  </headerFooter>
  <rowBreaks count="4" manualBreakCount="4">
    <brk id="42" min="1" max="25" man="1"/>
    <brk id="122" min="1" max="25" man="1"/>
    <brk id="179" min="1" max="25" man="1"/>
    <brk id="328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33</vt:i4>
      </vt:variant>
    </vt:vector>
  </HeadingPairs>
  <TitlesOfParts>
    <vt:vector size="51" baseType="lpstr">
      <vt:lpstr>BUNGALOW</vt:lpstr>
      <vt:lpstr>EASTSIDE</vt:lpstr>
      <vt:lpstr>HIDDENHOLLOW</vt:lpstr>
      <vt:lpstr>HILLCREST</vt:lpstr>
      <vt:lpstr>LINDON</vt:lpstr>
      <vt:lpstr>MEDALLIONMANOR(Provo)</vt:lpstr>
      <vt:lpstr>MEDALLION SUP LVNG-LEHI</vt:lpstr>
      <vt:lpstr>MEDALLION SUP LVNG-PAYSON</vt:lpstr>
      <vt:lpstr>MEDALLION SUP LVNG-SPRINGVILLE</vt:lpstr>
      <vt:lpstr>MESAVISTA</vt:lpstr>
      <vt:lpstr>NORTHSIDE</vt:lpstr>
      <vt:lpstr>PROVO</vt:lpstr>
      <vt:lpstr>SUPPORTED INDEPENDENCE</vt:lpstr>
      <vt:lpstr>TOPHAMS</vt:lpstr>
      <vt:lpstr>WESTJORDAN</vt:lpstr>
      <vt:lpstr>WESTSIDE</vt:lpstr>
      <vt:lpstr>WIDEHORIZONS, TM</vt:lpstr>
      <vt:lpstr>SUMMARY</vt:lpstr>
      <vt:lpstr>EASTSIDE!Print_Area</vt:lpstr>
      <vt:lpstr>HIDDENHOLLOW!Print_Area</vt:lpstr>
      <vt:lpstr>HILLCREST!Print_Area</vt:lpstr>
      <vt:lpstr>LINDON!Print_Area</vt:lpstr>
      <vt:lpstr>'MEDALLION SUP LVNG-LEHI'!Print_Area</vt:lpstr>
      <vt:lpstr>'MEDALLION SUP LVNG-PAYSON'!Print_Area</vt:lpstr>
      <vt:lpstr>'MEDALLION SUP LVNG-SPRINGVILLE'!Print_Area</vt:lpstr>
      <vt:lpstr>'MEDALLIONMANOR(Provo)'!Print_Area</vt:lpstr>
      <vt:lpstr>MESAVISTA!Print_Area</vt:lpstr>
      <vt:lpstr>NORTHSIDE!Print_Area</vt:lpstr>
      <vt:lpstr>PROVO!Print_Area</vt:lpstr>
      <vt:lpstr>SUMMARY!Print_Area</vt:lpstr>
      <vt:lpstr>'SUPPORTED INDEPENDENCE'!Print_Area</vt:lpstr>
      <vt:lpstr>TOPHAMS!Print_Area</vt:lpstr>
      <vt:lpstr>WESTJORDAN!Print_Area</vt:lpstr>
      <vt:lpstr>WESTSIDE!Print_Area</vt:lpstr>
      <vt:lpstr>BUNGALOW!Print_Titles</vt:lpstr>
      <vt:lpstr>EASTSIDE!Print_Titles</vt:lpstr>
      <vt:lpstr>HIDDENHOLLOW!Print_Titles</vt:lpstr>
      <vt:lpstr>HILLCREST!Print_Titles</vt:lpstr>
      <vt:lpstr>LINDON!Print_Titles</vt:lpstr>
      <vt:lpstr>'MEDALLION SUP LVNG-LEHI'!Print_Titles</vt:lpstr>
      <vt:lpstr>'MEDALLION SUP LVNG-PAYSON'!Print_Titles</vt:lpstr>
      <vt:lpstr>'MEDALLION SUP LVNG-SPRINGVILLE'!Print_Titles</vt:lpstr>
      <vt:lpstr>'MEDALLIONMANOR(Provo)'!Print_Titles</vt:lpstr>
      <vt:lpstr>MESAVISTA!Print_Titles</vt:lpstr>
      <vt:lpstr>NORTHSIDE!Print_Titles</vt:lpstr>
      <vt:lpstr>PROVO!Print_Titles</vt:lpstr>
      <vt:lpstr>SUMMARY!Print_Titles</vt:lpstr>
      <vt:lpstr>'SUPPORTED INDEPENDENCE'!Print_Titles</vt:lpstr>
      <vt:lpstr>TOPHAMS!Print_Titles</vt:lpstr>
      <vt:lpstr>WESTJORDAN!Print_Titles</vt:lpstr>
      <vt:lpstr>WESTSIDE!Print_Titles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Price</dc:creator>
  <cp:lastModifiedBy>Cody Simonsen</cp:lastModifiedBy>
  <cp:lastPrinted>2015-12-01T15:59:50Z</cp:lastPrinted>
  <dcterms:created xsi:type="dcterms:W3CDTF">1998-10-01T19:47:59Z</dcterms:created>
  <dcterms:modified xsi:type="dcterms:W3CDTF">2020-07-01T16:09:18Z</dcterms:modified>
</cp:coreProperties>
</file>