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tplan\Inpatient\gme\"/>
    </mc:Choice>
  </mc:AlternateContent>
  <bookViews>
    <workbookView xWindow="0" yWindow="0" windowWidth="28800" windowHeight="12090"/>
  </bookViews>
  <sheets>
    <sheet name="Summary" sheetId="1" r:id="rId1"/>
  </sheets>
  <externalReferences>
    <externalReference r:id="rId2"/>
    <externalReference r:id="rId3"/>
    <externalReference r:id="rId4"/>
    <externalReference r:id="rId5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'[4]UPL Model'!$O$12:$O$300</definedName>
    <definedName name="HOSPITALGRP">'[4]UPL Model'!$A$12:$A$300</definedName>
    <definedName name="HOSPTYPE">#REF!</definedName>
    <definedName name="IPNPData">#REF!</definedName>
    <definedName name="Payment">Summary!$C$19:$I$27</definedName>
    <definedName name="PMTSANNLZD">'[4]UPL Model'!$N$12:$N$300</definedName>
    <definedName name="ServiceDate">[4]Lookup!$I$2:$I$5</definedName>
    <definedName name="UPLMOD">'[4]UPL Model'!$A$12:$O$350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J18" i="1"/>
  <c r="I18" i="1"/>
  <c r="H18" i="1"/>
  <c r="G18" i="1"/>
  <c r="F18" i="1"/>
  <c r="D12" i="1"/>
  <c r="J10" i="1"/>
  <c r="H9" i="1"/>
  <c r="D9" i="1"/>
  <c r="E9" i="1" s="1"/>
  <c r="F9" i="1" s="1"/>
  <c r="J6" i="1"/>
  <c r="D6" i="1"/>
  <c r="E6" i="1" s="1"/>
  <c r="H5" i="1"/>
  <c r="E12" i="1" l="1"/>
  <c r="F12" i="1" s="1"/>
  <c r="F6" i="1"/>
  <c r="I27" i="1"/>
  <c r="G26" i="1"/>
  <c r="I25" i="1"/>
  <c r="G24" i="1"/>
  <c r="I23" i="1"/>
  <c r="G22" i="1"/>
  <c r="I21" i="1"/>
  <c r="G20" i="1"/>
  <c r="I19" i="1"/>
  <c r="H27" i="1"/>
  <c r="H25" i="1"/>
  <c r="H23" i="1"/>
  <c r="H21" i="1"/>
  <c r="H19" i="1"/>
  <c r="G27" i="1"/>
  <c r="I26" i="1"/>
  <c r="G25" i="1"/>
  <c r="I24" i="1"/>
  <c r="G23" i="1"/>
  <c r="I22" i="1"/>
  <c r="G21" i="1"/>
  <c r="I20" i="1"/>
  <c r="G19" i="1"/>
  <c r="H26" i="1"/>
  <c r="H24" i="1"/>
  <c r="H22" i="1"/>
  <c r="H20" i="1"/>
  <c r="H28" i="1" l="1"/>
  <c r="I28" i="1"/>
  <c r="F26" i="1"/>
  <c r="J26" i="1" s="1"/>
  <c r="F24" i="1"/>
  <c r="J24" i="1" s="1"/>
  <c r="F22" i="1"/>
  <c r="J22" i="1" s="1"/>
  <c r="F20" i="1"/>
  <c r="J20" i="1" s="1"/>
  <c r="F27" i="1"/>
  <c r="J27" i="1" s="1"/>
  <c r="F25" i="1"/>
  <c r="J25" i="1" s="1"/>
  <c r="F23" i="1"/>
  <c r="J23" i="1" s="1"/>
  <c r="F21" i="1"/>
  <c r="J21" i="1" s="1"/>
  <c r="F19" i="1"/>
  <c r="G28" i="1"/>
  <c r="E27" i="1"/>
  <c r="E25" i="1"/>
  <c r="E23" i="1"/>
  <c r="E21" i="1"/>
  <c r="E19" i="1"/>
  <c r="E26" i="1"/>
  <c r="E24" i="1"/>
  <c r="E22" i="1"/>
  <c r="E20" i="1"/>
  <c r="F28" i="1" l="1"/>
  <c r="J28" i="1" s="1"/>
  <c r="J19" i="1"/>
  <c r="E28" i="1"/>
</calcChain>
</file>

<file path=xl/sharedStrings.xml><?xml version="1.0" encoding="utf-8"?>
<sst xmlns="http://schemas.openxmlformats.org/spreadsheetml/2006/main" count="49" uniqueCount="32">
  <si>
    <t>Medicaid GME Calculations</t>
  </si>
  <si>
    <t>State Fiscal Year</t>
  </si>
  <si>
    <t>Source of Funds - 1st Qtr</t>
  </si>
  <si>
    <t>State</t>
  </si>
  <si>
    <t>Federal</t>
  </si>
  <si>
    <t>Total</t>
  </si>
  <si>
    <t>Medicaid Base</t>
  </si>
  <si>
    <t>State Portion</t>
  </si>
  <si>
    <t>Federal Match Rate</t>
  </si>
  <si>
    <t>Source of Funds - 2nd - 4th Qtr</t>
  </si>
  <si>
    <t>Source of Funds - Combined</t>
  </si>
  <si>
    <t>1st Qtr Amt</t>
  </si>
  <si>
    <t>2nd Qtr Amt</t>
  </si>
  <si>
    <t>3rd Qtr Amt</t>
  </si>
  <si>
    <t>4th Qtr Amt</t>
  </si>
  <si>
    <t>County Codes</t>
  </si>
  <si>
    <t>Hospital</t>
  </si>
  <si>
    <t>Percentage</t>
  </si>
  <si>
    <t>Total Amt</t>
  </si>
  <si>
    <t>18</t>
  </si>
  <si>
    <t>UNIVERSITY OF UTAH HOSP</t>
  </si>
  <si>
    <t>PRIMARY CHILDRENS MED CNTR</t>
  </si>
  <si>
    <t>LDS HOSPITAL</t>
  </si>
  <si>
    <t>INTERMOUNTAIN MEDICAL CENTER</t>
  </si>
  <si>
    <t>25</t>
  </si>
  <si>
    <t>UTAH VALLEY REG MED CNTR</t>
  </si>
  <si>
    <t>29</t>
  </si>
  <si>
    <t>MCKAY DEE HOSPITAL</t>
  </si>
  <si>
    <t>ST MARKS HOSPITAL</t>
  </si>
  <si>
    <t>SALT LAKE REG MED CNTR</t>
  </si>
  <si>
    <t>UNIVERSITY HOSPITAL PSYCH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</si>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</sst>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name val="Arial"/>
    </font>
    <font>
      <b/>
      <sz val="10"/>
      <color theme="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38" fontId="2" fillId="0" borderId="0" xfId="0" applyNumberFormat="1" applyFont="1" applyBorder="1" applyAlignment="1">
      <alignment horizontal="left"/>
    </xf>
    <xf numFmtId="38" fontId="3" fillId="0" borderId="0" xfId="0" applyNumberFormat="1" applyFont="1"/>
    <xf numFmtId="38" fontId="4" fillId="0" borderId="0" xfId="0" applyNumberFormat="1" applyFont="1" applyBorder="1" applyAlignment="1">
      <alignment horizontal="left"/>
    </xf>
    <xf numFmtId="38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38" fontId="3" fillId="0" borderId="0" xfId="0" applyNumberFormat="1" applyFont="1" applyBorder="1"/>
    <xf numFmtId="38" fontId="5" fillId="0" borderId="1" xfId="0" applyNumberFormat="1" applyFont="1" applyBorder="1"/>
    <xf numFmtId="38" fontId="3" fillId="0" borderId="1" xfId="0" applyNumberFormat="1" applyFont="1" applyBorder="1"/>
    <xf numFmtId="38" fontId="3" fillId="0" borderId="1" xfId="0" applyNumberFormat="1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38" fontId="5" fillId="0" borderId="2" xfId="0" applyNumberFormat="1" applyFont="1" applyBorder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/>
    <xf numFmtId="38" fontId="3" fillId="0" borderId="0" xfId="0" applyNumberFormat="1" applyFont="1" applyAlignment="1">
      <alignment horizontal="right"/>
    </xf>
    <xf numFmtId="10" fontId="3" fillId="0" borderId="0" xfId="1" applyNumberFormat="1" applyFont="1" applyFill="1"/>
    <xf numFmtId="164" fontId="4" fillId="0" borderId="0" xfId="0" applyNumberFormat="1" applyFont="1" applyBorder="1" applyAlignment="1">
      <alignment horizontal="center"/>
    </xf>
    <xf numFmtId="10" fontId="6" fillId="2" borderId="0" xfId="1" applyNumberFormat="1" applyFont="1" applyFill="1"/>
    <xf numFmtId="164" fontId="3" fillId="0" borderId="1" xfId="0" applyNumberFormat="1" applyFont="1" applyBorder="1" applyAlignment="1">
      <alignment horizontal="center"/>
    </xf>
    <xf numFmtId="164" fontId="3" fillId="2" borderId="0" xfId="0" applyNumberFormat="1" applyFont="1" applyFill="1"/>
    <xf numFmtId="38" fontId="3" fillId="0" borderId="0" xfId="0" applyNumberFormat="1" applyFont="1" applyBorder="1" applyAlignment="1"/>
    <xf numFmtId="38" fontId="7" fillId="0" borderId="1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7" fillId="0" borderId="3" xfId="0" applyNumberFormat="1" applyFont="1" applyBorder="1"/>
    <xf numFmtId="38" fontId="7" fillId="0" borderId="3" xfId="0" applyNumberFormat="1" applyFont="1" applyBorder="1" applyAlignment="1">
      <alignment horizontal="center"/>
    </xf>
    <xf numFmtId="38" fontId="8" fillId="0" borderId="4" xfId="0" applyNumberFormat="1" applyFont="1" applyBorder="1" applyAlignment="1">
      <alignment horizontal="right" wrapText="1"/>
    </xf>
    <xf numFmtId="38" fontId="7" fillId="0" borderId="4" xfId="0" applyNumberFormat="1" applyFont="1" applyBorder="1" applyAlignment="1">
      <alignment horizontal="right" wrapText="1"/>
    </xf>
    <xf numFmtId="38" fontId="6" fillId="0" borderId="0" xfId="0" applyNumberFormat="1" applyFont="1"/>
    <xf numFmtId="10" fontId="3" fillId="0" borderId="0" xfId="0" applyNumberFormat="1" applyFont="1"/>
    <xf numFmtId="164" fontId="7" fillId="0" borderId="0" xfId="0" applyNumberFormat="1" applyFont="1"/>
    <xf numFmtId="38" fontId="3" fillId="0" borderId="5" xfId="0" applyNumberFormat="1" applyFont="1" applyBorder="1"/>
    <xf numFmtId="9" fontId="6" fillId="0" borderId="5" xfId="0" applyNumberFormat="1" applyFont="1" applyBorder="1"/>
    <xf numFmtId="164" fontId="6" fillId="0" borderId="5" xfId="0" applyNumberFormat="1" applyFont="1" applyBorder="1"/>
    <xf numFmtId="164" fontId="3" fillId="0" borderId="5" xfId="0" applyNumberFormat="1" applyFont="1" applyBorder="1"/>
    <xf numFmtId="164" fontId="7" fillId="0" borderId="5" xfId="0" applyNumberFormat="1" applyFont="1" applyBorder="1"/>
    <xf numFmtId="38" fontId="6" fillId="0" borderId="0" xfId="0" applyNumberFormat="1" applyFont="1" applyBorder="1"/>
    <xf numFmtId="9" fontId="6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DSH\Payments(SvcDate)\FFY12\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Assessment\Payments\FY2013\Q1\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GME\SFY18\2018%20GME%20Calcul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UPL\UPL%20-%20Outpatient\FY2012\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ignaturePage"/>
      <sheetName val="IndividualSheets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12" sqref="D12"/>
    </sheetView>
  </sheetViews>
  <sheetFormatPr defaultRowHeight="12.75"/>
  <cols>
    <col min="1" max="1" width="3.7109375" style="2" customWidth="1"/>
    <col min="2" max="2" width="9.85546875" style="2" hidden="1" customWidth="1"/>
    <col min="3" max="3" width="33.28515625" style="2" bestFit="1" customWidth="1"/>
    <col min="4" max="8" width="12.7109375" style="2" bestFit="1" customWidth="1"/>
    <col min="9" max="9" width="12.7109375" style="2" customWidth="1"/>
    <col min="10" max="10" width="12.7109375" style="2" bestFit="1" customWidth="1"/>
    <col min="11" max="11" width="9.7109375" style="2" bestFit="1" customWidth="1"/>
    <col min="12" max="16384" width="9.140625" style="2"/>
  </cols>
  <sheetData>
    <row r="1" spans="1:1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6.5" customHeight="1">
      <c r="A2" s="3" t="s">
        <v>1</v>
      </c>
      <c r="B2" s="3"/>
      <c r="C2" s="4"/>
      <c r="D2" s="5">
        <v>2018</v>
      </c>
      <c r="E2" s="4"/>
      <c r="F2" s="4"/>
      <c r="G2" s="4"/>
      <c r="H2" s="4"/>
      <c r="I2" s="4"/>
      <c r="J2" s="4"/>
    </row>
    <row r="3" spans="1:10" s="6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6" customFormat="1" ht="16.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>
      <c r="A5" s="7" t="s">
        <v>2</v>
      </c>
      <c r="B5" s="7"/>
      <c r="C5" s="8"/>
      <c r="D5" s="9" t="s">
        <v>3</v>
      </c>
      <c r="E5" s="9" t="s">
        <v>4</v>
      </c>
      <c r="F5" s="9" t="s">
        <v>5</v>
      </c>
      <c r="G5" s="10"/>
      <c r="H5" s="11" t="str">
        <f>"Federal Fiscal Year " &amp; $D$2-1</f>
        <v>Federal Fiscal Year 2017</v>
      </c>
      <c r="I5" s="11"/>
      <c r="J5" s="11"/>
    </row>
    <row r="6" spans="1:10">
      <c r="C6" s="2" t="s">
        <v>6</v>
      </c>
      <c r="D6" s="12">
        <f>+D12*0.25</f>
        <v>459000</v>
      </c>
      <c r="E6" s="13">
        <f>ROUNDDOWN(D6/$J$6*$J$7,0)</f>
        <v>1065916</v>
      </c>
      <c r="F6" s="13">
        <f>SUM(D6:E6)</f>
        <v>1524916</v>
      </c>
      <c r="G6" s="6"/>
      <c r="I6" s="14" t="s">
        <v>7</v>
      </c>
      <c r="J6" s="15">
        <f>1-J7</f>
        <v>0.30100000000000005</v>
      </c>
    </row>
    <row r="7" spans="1:10" ht="14.25" customHeight="1">
      <c r="A7" s="4"/>
      <c r="B7" s="4"/>
      <c r="C7" s="4"/>
      <c r="D7" s="16"/>
      <c r="E7" s="16"/>
      <c r="F7" s="16"/>
      <c r="G7" s="4"/>
      <c r="I7" s="14" t="s">
        <v>8</v>
      </c>
      <c r="J7" s="17">
        <v>0.69899999999999995</v>
      </c>
    </row>
    <row r="8" spans="1:10" ht="15" customHeight="1">
      <c r="A8" s="7" t="s">
        <v>9</v>
      </c>
      <c r="B8" s="7"/>
      <c r="C8" s="8"/>
      <c r="D8" s="18" t="s">
        <v>3</v>
      </c>
      <c r="E8" s="18" t="s">
        <v>4</v>
      </c>
      <c r="F8" s="18" t="s">
        <v>5</v>
      </c>
      <c r="G8" s="10"/>
    </row>
    <row r="9" spans="1:10" ht="14.25" customHeight="1">
      <c r="C9" s="2" t="s">
        <v>6</v>
      </c>
      <c r="D9" s="12">
        <f>+D12*0.75</f>
        <v>1377000</v>
      </c>
      <c r="E9" s="13">
        <f>ROUNDDOWN(D9/$J$10*$J$11,0)</f>
        <v>3253127</v>
      </c>
      <c r="F9" s="13">
        <f>SUM(D9:E9)</f>
        <v>4630127</v>
      </c>
      <c r="G9" s="6"/>
      <c r="H9" s="11" t="str">
        <f>"Federal Fiscal Year " &amp; $D$2</f>
        <v>Federal Fiscal Year 2018</v>
      </c>
      <c r="I9" s="11"/>
      <c r="J9" s="11"/>
    </row>
    <row r="10" spans="1:10" ht="14.25" customHeight="1">
      <c r="A10" s="4"/>
      <c r="B10" s="4"/>
      <c r="C10" s="4"/>
      <c r="D10" s="16"/>
      <c r="E10" s="16"/>
      <c r="F10" s="16"/>
      <c r="G10" s="4"/>
      <c r="I10" s="14" t="s">
        <v>7</v>
      </c>
      <c r="J10" s="15">
        <f>1-J11</f>
        <v>0.2974</v>
      </c>
    </row>
    <row r="11" spans="1:10" ht="13.5" customHeight="1">
      <c r="A11" s="7" t="s">
        <v>10</v>
      </c>
      <c r="B11" s="7"/>
      <c r="C11" s="8"/>
      <c r="D11" s="18" t="s">
        <v>3</v>
      </c>
      <c r="E11" s="18" t="s">
        <v>4</v>
      </c>
      <c r="F11" s="18" t="s">
        <v>5</v>
      </c>
      <c r="G11" s="10"/>
      <c r="I11" s="14" t="s">
        <v>8</v>
      </c>
      <c r="J11" s="17">
        <v>0.7026</v>
      </c>
    </row>
    <row r="12" spans="1:10">
      <c r="C12" s="2" t="s">
        <v>6</v>
      </c>
      <c r="D12" s="19">
        <f>1836000</f>
        <v>1836000</v>
      </c>
      <c r="E12" s="13">
        <f>+E6+E9</f>
        <v>4319043</v>
      </c>
      <c r="F12" s="13">
        <f>ROUNDDOWN(D12+E12,0)</f>
        <v>6155043</v>
      </c>
      <c r="G12" s="6"/>
      <c r="I12" s="6"/>
    </row>
    <row r="13" spans="1:10">
      <c r="A13" s="6"/>
      <c r="B13" s="6"/>
      <c r="C13" s="6"/>
      <c r="D13" s="6"/>
      <c r="E13" s="6"/>
      <c r="F13" s="6"/>
      <c r="G13" s="6"/>
      <c r="H13" s="6"/>
    </row>
    <row r="15" spans="1:10">
      <c r="F15" s="20"/>
      <c r="G15" s="20"/>
    </row>
    <row r="16" spans="1:10">
      <c r="A16" s="6"/>
      <c r="B16" s="6"/>
      <c r="C16" s="6"/>
      <c r="F16" s="20"/>
      <c r="G16" s="20"/>
      <c r="H16" s="6"/>
      <c r="I16" s="6"/>
      <c r="J16" s="6"/>
    </row>
    <row r="17" spans="1:10">
      <c r="A17" s="6"/>
      <c r="B17" s="6"/>
      <c r="C17" s="6"/>
      <c r="E17" s="6"/>
      <c r="F17" s="21" t="s">
        <v>11</v>
      </c>
      <c r="G17" s="21" t="s">
        <v>12</v>
      </c>
      <c r="H17" s="21" t="s">
        <v>13</v>
      </c>
      <c r="I17" s="21" t="s">
        <v>14</v>
      </c>
      <c r="J17" s="22" t="s">
        <v>5</v>
      </c>
    </row>
    <row r="18" spans="1:10" ht="29.25" customHeight="1" thickBot="1">
      <c r="A18" s="23" t="s">
        <v>15</v>
      </c>
      <c r="B18" s="23"/>
      <c r="C18" s="23" t="s">
        <v>16</v>
      </c>
      <c r="D18" s="23" t="s">
        <v>17</v>
      </c>
      <c r="E18" s="24" t="s">
        <v>18</v>
      </c>
      <c r="F18" s="25" t="str">
        <f>"(FFY "&amp;$D$2-1&amp;" 
Match Rate)"</f>
        <v>(FFY 2017 
Match Rate)</v>
      </c>
      <c r="G18" s="25" t="str">
        <f>"(FFY "&amp;$D$2&amp;" 
Match Rate)"</f>
        <v>(FFY 2018 
Match Rate)</v>
      </c>
      <c r="H18" s="25" t="str">
        <f>"(FFY "&amp;$D$2&amp;" 
Match Rate)"</f>
        <v>(FFY 2018 
Match Rate)</v>
      </c>
      <c r="I18" s="25" t="str">
        <f>"(FFY "&amp;$D$2&amp;" 
Match Rate)"</f>
        <v>(FFY 2018 
Match Rate)</v>
      </c>
      <c r="J18" s="26" t="str">
        <f>J17</f>
        <v>Total</v>
      </c>
    </row>
    <row r="19" spans="1:10">
      <c r="A19" s="6" t="s">
        <v>19</v>
      </c>
      <c r="B19" s="6">
        <v>876000525088</v>
      </c>
      <c r="C19" s="27" t="s">
        <v>20</v>
      </c>
      <c r="D19" s="28">
        <v>0.74450000000000005</v>
      </c>
      <c r="E19" s="13">
        <f>ROUND(D19*$F$12,2)</f>
        <v>4582429.51</v>
      </c>
      <c r="F19" s="13">
        <f>ROUND(D19*$F$6, 2)</f>
        <v>1135299.96</v>
      </c>
      <c r="G19" s="13">
        <f>ROUND(($F$9/3)*D19, 2)</f>
        <v>1149043.18</v>
      </c>
      <c r="H19" s="13">
        <f>ROUND(($F$9/3)*D19, 2)</f>
        <v>1149043.18</v>
      </c>
      <c r="I19" s="13">
        <f>ROUND(($F$9/3)*D19, 2)</f>
        <v>1149043.18</v>
      </c>
      <c r="J19" s="29">
        <f>SUM(F19:I19)</f>
        <v>4582429.4999999991</v>
      </c>
    </row>
    <row r="20" spans="1:10">
      <c r="A20" s="2" t="s">
        <v>19</v>
      </c>
      <c r="B20" s="2">
        <v>942854058211</v>
      </c>
      <c r="C20" s="27" t="s">
        <v>21</v>
      </c>
      <c r="D20" s="28">
        <v>0.1128</v>
      </c>
      <c r="E20" s="13">
        <f t="shared" ref="E20:E27" si="0">ROUND(D20*$F$12,2)</f>
        <v>694288.85</v>
      </c>
      <c r="F20" s="13">
        <f t="shared" ref="F20:F27" si="1">ROUND(D20*$F$6, 2)</f>
        <v>172010.52</v>
      </c>
      <c r="G20" s="13">
        <f t="shared" ref="G20:G27" si="2">ROUND(($F$9/3)*D20, 2)</f>
        <v>174092.78</v>
      </c>
      <c r="H20" s="13">
        <f t="shared" ref="H20:H27" si="3">ROUND(($F$9/3)*D20, 2)</f>
        <v>174092.78</v>
      </c>
      <c r="I20" s="13">
        <f t="shared" ref="I20:I27" si="4">ROUND(($F$9/3)*D20, 2)</f>
        <v>174092.78</v>
      </c>
      <c r="J20" s="29">
        <f>SUM(F20:I20)</f>
        <v>694288.86</v>
      </c>
    </row>
    <row r="21" spans="1:10">
      <c r="A21" s="2" t="s">
        <v>19</v>
      </c>
      <c r="B21" s="2">
        <v>870269232209</v>
      </c>
      <c r="C21" s="27" t="s">
        <v>22</v>
      </c>
      <c r="D21" s="28">
        <v>2.0999999999999999E-3</v>
      </c>
      <c r="E21" s="13">
        <f t="shared" si="0"/>
        <v>12925.59</v>
      </c>
      <c r="F21" s="13">
        <f t="shared" si="1"/>
        <v>3202.32</v>
      </c>
      <c r="G21" s="13">
        <f t="shared" si="2"/>
        <v>3241.09</v>
      </c>
      <c r="H21" s="13">
        <f t="shared" si="3"/>
        <v>3241.09</v>
      </c>
      <c r="I21" s="13">
        <f t="shared" si="4"/>
        <v>3241.09</v>
      </c>
      <c r="J21" s="29">
        <f t="shared" ref="J21:J27" si="5">SUM(F21:I21)</f>
        <v>12925.59</v>
      </c>
    </row>
    <row r="22" spans="1:10">
      <c r="A22" s="2" t="s">
        <v>19</v>
      </c>
      <c r="B22" s="2">
        <v>870269232338</v>
      </c>
      <c r="C22" s="27" t="s">
        <v>23</v>
      </c>
      <c r="D22" s="28">
        <v>8.2299999999999998E-2</v>
      </c>
      <c r="E22" s="13">
        <f t="shared" si="0"/>
        <v>506560.04</v>
      </c>
      <c r="F22" s="13">
        <f t="shared" si="1"/>
        <v>125500.59</v>
      </c>
      <c r="G22" s="13">
        <f t="shared" si="2"/>
        <v>127019.82</v>
      </c>
      <c r="H22" s="13">
        <f t="shared" si="3"/>
        <v>127019.82</v>
      </c>
      <c r="I22" s="13">
        <f t="shared" si="4"/>
        <v>127019.82</v>
      </c>
      <c r="J22" s="29">
        <f t="shared" si="5"/>
        <v>506560.05</v>
      </c>
    </row>
    <row r="23" spans="1:10">
      <c r="A23" s="2" t="s">
        <v>24</v>
      </c>
      <c r="B23" s="2">
        <v>870269232162</v>
      </c>
      <c r="C23" s="27" t="s">
        <v>25</v>
      </c>
      <c r="D23" s="28">
        <v>2.69E-2</v>
      </c>
      <c r="E23" s="13">
        <f t="shared" si="0"/>
        <v>165570.66</v>
      </c>
      <c r="F23" s="13">
        <f t="shared" si="1"/>
        <v>41020.239999999998</v>
      </c>
      <c r="G23" s="13">
        <f t="shared" si="2"/>
        <v>41516.81</v>
      </c>
      <c r="H23" s="13">
        <f t="shared" si="3"/>
        <v>41516.81</v>
      </c>
      <c r="I23" s="13">
        <f t="shared" si="4"/>
        <v>41516.81</v>
      </c>
      <c r="J23" s="29">
        <f t="shared" si="5"/>
        <v>165570.66999999998</v>
      </c>
    </row>
    <row r="24" spans="1:10">
      <c r="A24" s="2" t="s">
        <v>26</v>
      </c>
      <c r="B24" s="2">
        <v>870269232274</v>
      </c>
      <c r="C24" s="27" t="s">
        <v>27</v>
      </c>
      <c r="D24" s="28">
        <v>1.9599999999999999E-2</v>
      </c>
      <c r="E24" s="13">
        <f t="shared" si="0"/>
        <v>120638.84</v>
      </c>
      <c r="F24" s="13">
        <f t="shared" si="1"/>
        <v>29888.35</v>
      </c>
      <c r="G24" s="13">
        <f t="shared" si="2"/>
        <v>30250.16</v>
      </c>
      <c r="H24" s="13">
        <f t="shared" si="3"/>
        <v>30250.16</v>
      </c>
      <c r="I24" s="13">
        <f t="shared" si="4"/>
        <v>30250.16</v>
      </c>
      <c r="J24" s="29">
        <f>SUM(F24:I24)</f>
        <v>120638.83</v>
      </c>
    </row>
    <row r="25" spans="1:10">
      <c r="A25" s="2" t="s">
        <v>19</v>
      </c>
      <c r="B25" s="2">
        <v>621650573021</v>
      </c>
      <c r="C25" s="27" t="s">
        <v>28</v>
      </c>
      <c r="D25" s="28">
        <v>5.5999999999999999E-3</v>
      </c>
      <c r="E25" s="13">
        <f t="shared" si="0"/>
        <v>34468.239999999998</v>
      </c>
      <c r="F25" s="13">
        <f t="shared" si="1"/>
        <v>8539.5300000000007</v>
      </c>
      <c r="G25" s="13">
        <f t="shared" si="2"/>
        <v>8642.9</v>
      </c>
      <c r="H25" s="13">
        <f t="shared" si="3"/>
        <v>8642.9</v>
      </c>
      <c r="I25" s="13">
        <f t="shared" si="4"/>
        <v>8642.9</v>
      </c>
      <c r="J25" s="29">
        <f t="shared" si="5"/>
        <v>34468.230000000003</v>
      </c>
    </row>
    <row r="26" spans="1:10">
      <c r="A26" s="2" t="s">
        <v>19</v>
      </c>
      <c r="B26" s="2">
        <v>621795214002</v>
      </c>
      <c r="C26" s="27" t="s">
        <v>29</v>
      </c>
      <c r="D26" s="28">
        <v>1.1000000000000001E-3</v>
      </c>
      <c r="E26" s="13">
        <f t="shared" si="0"/>
        <v>6770.55</v>
      </c>
      <c r="F26" s="13">
        <f t="shared" si="1"/>
        <v>1677.41</v>
      </c>
      <c r="G26" s="13">
        <f t="shared" si="2"/>
        <v>1697.71</v>
      </c>
      <c r="H26" s="13">
        <f t="shared" si="3"/>
        <v>1697.71</v>
      </c>
      <c r="I26" s="13">
        <f t="shared" si="4"/>
        <v>1697.71</v>
      </c>
      <c r="J26" s="29">
        <f t="shared" si="5"/>
        <v>6770.54</v>
      </c>
    </row>
    <row r="27" spans="1:10">
      <c r="A27" s="2" t="s">
        <v>19</v>
      </c>
      <c r="B27" s="2">
        <v>876000525494</v>
      </c>
      <c r="C27" s="6" t="s">
        <v>30</v>
      </c>
      <c r="D27" s="28">
        <v>5.1000000000000004E-3</v>
      </c>
      <c r="E27" s="13">
        <f t="shared" si="0"/>
        <v>31390.720000000001</v>
      </c>
      <c r="F27" s="13">
        <f t="shared" si="1"/>
        <v>7777.07</v>
      </c>
      <c r="G27" s="13">
        <f t="shared" si="2"/>
        <v>7871.22</v>
      </c>
      <c r="H27" s="13">
        <f t="shared" si="3"/>
        <v>7871.22</v>
      </c>
      <c r="I27" s="13">
        <f t="shared" si="4"/>
        <v>7871.22</v>
      </c>
      <c r="J27" s="29">
        <f t="shared" si="5"/>
        <v>31390.730000000003</v>
      </c>
    </row>
    <row r="28" spans="1:10" ht="13.5" thickBot="1">
      <c r="C28" s="30" t="s">
        <v>31</v>
      </c>
      <c r="D28" s="31">
        <f t="shared" ref="D28:I28" si="6">SUM(D19:D27)</f>
        <v>1.0000000000000002</v>
      </c>
      <c r="E28" s="32">
        <f t="shared" si="6"/>
        <v>6155042.9999999991</v>
      </c>
      <c r="F28" s="33">
        <f t="shared" si="6"/>
        <v>1524915.9900000002</v>
      </c>
      <c r="G28" s="33">
        <f t="shared" si="6"/>
        <v>1543375.67</v>
      </c>
      <c r="H28" s="33">
        <f t="shared" si="6"/>
        <v>1543375.67</v>
      </c>
      <c r="I28" s="33">
        <f t="shared" si="6"/>
        <v>1543375.67</v>
      </c>
      <c r="J28" s="34">
        <f>SUM(F28:I28)</f>
        <v>6155043</v>
      </c>
    </row>
    <row r="29" spans="1:10" ht="13.5" thickTop="1">
      <c r="C29" s="6"/>
      <c r="D29" s="35"/>
      <c r="E29" s="35"/>
      <c r="F29" s="35"/>
      <c r="G29" s="35"/>
      <c r="H29" s="35"/>
      <c r="I29" s="36"/>
      <c r="J29" s="35"/>
    </row>
  </sheetData>
  <mergeCells count="3">
    <mergeCell ref="A1:J1"/>
    <mergeCell ref="H5:J5"/>
    <mergeCell ref="H9:J9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2017-10-25T14:24:22Z</dcterms:created>
  <dcterms:modified xsi:type="dcterms:W3CDTF">2017-10-25T14:26:02Z</dcterms:modified>
</cp:coreProperties>
</file>