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35" tabRatio="792"/>
  </bookViews>
  <sheets>
    <sheet name="Summary" sheetId="12" r:id="rId1"/>
  </sheets>
  <externalReferences>
    <externalReference r:id="rId2"/>
    <externalReference r:id="rId3"/>
    <externalReference r:id="rId4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'[3]UPL Model'!$O$12:$O$300</definedName>
    <definedName name="HOSPITALGRP">'[3]UPL Model'!$A$12:$A$300</definedName>
    <definedName name="HOSPTYPE">#REF!</definedName>
    <definedName name="IPNPData">#REF!</definedName>
    <definedName name="Payment">Summary!$C$19:$I$27</definedName>
    <definedName name="PMTSANNLZD">'[3]UPL Model'!$N$12:$N$300</definedName>
    <definedName name="ServiceDate">[3]Lookup!$I$2:$I$5</definedName>
    <definedName name="UPLMOD">'[3]UPL Model'!$A$12:$O$350</definedName>
  </definedNames>
  <calcPr calcId="145621"/>
</workbook>
</file>

<file path=xl/calcChain.xml><?xml version="1.0" encoding="utf-8"?>
<calcChain xmlns="http://schemas.openxmlformats.org/spreadsheetml/2006/main">
  <c r="J18" i="12" l="1"/>
  <c r="I18" i="12"/>
  <c r="H18" i="12"/>
  <c r="G18" i="12"/>
  <c r="F18" i="12"/>
  <c r="D12" i="12"/>
  <c r="D9" i="12" s="1"/>
  <c r="J10" i="12"/>
  <c r="H9" i="12"/>
  <c r="J6" i="12"/>
  <c r="H5" i="12"/>
  <c r="D6" i="12" l="1"/>
  <c r="E6" i="12" s="1"/>
  <c r="D28" i="12"/>
  <c r="E9" i="12"/>
  <c r="F9" i="12" s="1"/>
  <c r="I23" i="12" l="1"/>
  <c r="H21" i="12"/>
  <c r="G24" i="12"/>
  <c r="I26" i="12"/>
  <c r="H24" i="12"/>
  <c r="G27" i="12"/>
  <c r="G22" i="12"/>
  <c r="I24" i="12"/>
  <c r="H27" i="12"/>
  <c r="G25" i="12"/>
  <c r="I27" i="12"/>
  <c r="I22" i="12"/>
  <c r="I19" i="12"/>
  <c r="G23" i="12"/>
  <c r="H19" i="12"/>
  <c r="G26" i="12"/>
  <c r="G21" i="12"/>
  <c r="I21" i="12"/>
  <c r="H22" i="12"/>
  <c r="G20" i="12"/>
  <c r="H25" i="12"/>
  <c r="H20" i="12"/>
  <c r="I25" i="12"/>
  <c r="I20" i="12"/>
  <c r="H23" i="12"/>
  <c r="G19" i="12"/>
  <c r="H26" i="12"/>
  <c r="E12" i="12"/>
  <c r="F12" i="12" s="1"/>
  <c r="F6" i="12"/>
  <c r="E27" i="12" l="1"/>
  <c r="E24" i="12"/>
  <c r="E19" i="12"/>
  <c r="E21" i="12"/>
  <c r="E26" i="12"/>
  <c r="E23" i="12"/>
  <c r="E20" i="12"/>
  <c r="E25" i="12"/>
  <c r="E22" i="12"/>
  <c r="F20" i="12"/>
  <c r="F22" i="12"/>
  <c r="F19" i="12"/>
  <c r="F27" i="12"/>
  <c r="F24" i="12"/>
  <c r="J24" i="12" s="1"/>
  <c r="F21" i="12"/>
  <c r="F26" i="12"/>
  <c r="J26" i="12" s="1"/>
  <c r="F23" i="12"/>
  <c r="J23" i="12" s="1"/>
  <c r="F25" i="12"/>
  <c r="I28" i="12"/>
  <c r="G28" i="12"/>
  <c r="J25" i="12"/>
  <c r="J27" i="12"/>
  <c r="J20" i="12"/>
  <c r="J21" i="12"/>
  <c r="J22" i="12"/>
  <c r="H28" i="12"/>
  <c r="F28" i="12" l="1"/>
  <c r="J28" i="12" s="1"/>
  <c r="J19" i="12"/>
  <c r="E28" i="12"/>
</calcChain>
</file>

<file path=xl/sharedStrings.xml><?xml version="1.0" encoding="utf-8"?>
<sst xmlns="http://schemas.openxmlformats.org/spreadsheetml/2006/main" count="49" uniqueCount="32">
  <si>
    <t>Percentage</t>
  </si>
  <si>
    <t>Total</t>
  </si>
  <si>
    <t>State</t>
  </si>
  <si>
    <t>Federal</t>
  </si>
  <si>
    <t>Federal Match Rate</t>
  </si>
  <si>
    <t>State Portion</t>
  </si>
  <si>
    <t>Medicaid Base</t>
  </si>
  <si>
    <t>1st Qtr Amt</t>
  </si>
  <si>
    <t>Source of Funds - Combined</t>
  </si>
  <si>
    <t>2nd Qtr Amt</t>
  </si>
  <si>
    <t>3rd Qtr Amt</t>
  </si>
  <si>
    <t>4th Qtr Amt</t>
  </si>
  <si>
    <t>Source of Funds - 1st Qtr</t>
  </si>
  <si>
    <t>Source of Funds - 2nd - 4th Qtr</t>
  </si>
  <si>
    <t>Total Amt</t>
  </si>
  <si>
    <t>Totals</t>
  </si>
  <si>
    <t>Hospital</t>
  </si>
  <si>
    <t>Medicaid GME Calculations</t>
  </si>
  <si>
    <t>State Fiscal Year</t>
  </si>
  <si>
    <t>UNIVERSITY OF UTAH HOSP</t>
  </si>
  <si>
    <t>PRIMARY CHILDRENS MED CNTR</t>
  </si>
  <si>
    <t>LDS HOSPITAL</t>
  </si>
  <si>
    <t>INTERMOUNTAIN MEDICAL CENTER</t>
  </si>
  <si>
    <t>UTAH VALLEY REG MED CNTR</t>
  </si>
  <si>
    <t>MCKAY DEE HOSPITAL</t>
  </si>
  <si>
    <t>ST MARKS HOSPITAL</t>
  </si>
  <si>
    <t>SALT LAKE REG MED CNTR</t>
  </si>
  <si>
    <t>UNIVERSITY HOSPITAL PSYCH</t>
  </si>
  <si>
    <t>County Codes</t>
  </si>
  <si>
    <t>18</t>
  </si>
  <si>
    <t>29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</si>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</sst>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37">
    <xf numFmtId="0" fontId="0" fillId="0" borderId="0" xfId="0"/>
    <xf numFmtId="38" fontId="1" fillId="0" borderId="0" xfId="0" applyNumberFormat="1" applyFont="1"/>
    <xf numFmtId="38" fontId="22" fillId="0" borderId="0" xfId="0" applyNumberFormat="1" applyFont="1" applyBorder="1" applyAlignment="1">
      <alignment horizontal="center"/>
    </xf>
    <xf numFmtId="38" fontId="1" fillId="0" borderId="0" xfId="0" applyNumberFormat="1" applyFont="1" applyBorder="1"/>
    <xf numFmtId="38" fontId="23" fillId="0" borderId="10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right"/>
    </xf>
    <xf numFmtId="38" fontId="20" fillId="0" borderId="0" xfId="0" applyNumberFormat="1" applyFont="1"/>
    <xf numFmtId="10" fontId="1" fillId="0" borderId="0" xfId="0" applyNumberFormat="1" applyFont="1"/>
    <xf numFmtId="38" fontId="1" fillId="0" borderId="11" xfId="0" applyNumberFormat="1" applyFont="1" applyBorder="1"/>
    <xf numFmtId="9" fontId="20" fillId="0" borderId="11" xfId="0" applyNumberFormat="1" applyFont="1" applyBorder="1"/>
    <xf numFmtId="38" fontId="20" fillId="0" borderId="0" xfId="0" applyNumberFormat="1" applyFont="1" applyBorder="1"/>
    <xf numFmtId="9" fontId="20" fillId="0" borderId="0" xfId="0" applyNumberFormat="1" applyFont="1" applyBorder="1"/>
    <xf numFmtId="38" fontId="19" fillId="0" borderId="13" xfId="0" applyNumberFormat="1" applyFont="1" applyBorder="1"/>
    <xf numFmtId="38" fontId="19" fillId="0" borderId="13" xfId="0" applyNumberFormat="1" applyFont="1" applyBorder="1" applyAlignment="1">
      <alignment horizontal="center"/>
    </xf>
    <xf numFmtId="38" fontId="19" fillId="0" borderId="10" xfId="0" applyNumberFormat="1" applyFont="1" applyBorder="1" applyAlignment="1">
      <alignment horizontal="right"/>
    </xf>
    <xf numFmtId="38" fontId="19" fillId="0" borderId="12" xfId="0" applyNumberFormat="1" applyFont="1" applyBorder="1" applyAlignment="1">
      <alignment horizontal="right" wrapText="1"/>
    </xf>
    <xf numFmtId="164" fontId="1" fillId="0" borderId="0" xfId="0" applyNumberFormat="1" applyFont="1"/>
    <xf numFmtId="164" fontId="19" fillId="0" borderId="0" xfId="0" applyNumberFormat="1" applyFont="1"/>
    <xf numFmtId="164" fontId="20" fillId="0" borderId="11" xfId="0" applyNumberFormat="1" applyFont="1" applyBorder="1"/>
    <xf numFmtId="164" fontId="1" fillId="0" borderId="11" xfId="0" applyNumberFormat="1" applyFont="1" applyBorder="1"/>
    <xf numFmtId="164" fontId="19" fillId="0" borderId="11" xfId="0" applyNumberFormat="1" applyFont="1" applyBorder="1"/>
    <xf numFmtId="38" fontId="24" fillId="0" borderId="10" xfId="0" applyNumberFormat="1" applyFont="1" applyBorder="1" applyAlignment="1">
      <alignment horizontal="right"/>
    </xf>
    <xf numFmtId="164" fontId="1" fillId="0" borderId="0" xfId="0" applyNumberFormat="1" applyFont="1" applyFill="1"/>
    <xf numFmtId="164" fontId="22" fillId="0" borderId="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24" borderId="0" xfId="0" applyNumberFormat="1" applyFont="1" applyFill="1"/>
    <xf numFmtId="10" fontId="20" fillId="24" borderId="0" xfId="39" applyNumberFormat="1" applyFont="1" applyFill="1"/>
    <xf numFmtId="38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center"/>
    </xf>
    <xf numFmtId="10" fontId="1" fillId="0" borderId="0" xfId="39" applyNumberFormat="1" applyFont="1" applyFill="1"/>
    <xf numFmtId="38" fontId="25" fillId="0" borderId="12" xfId="0" applyNumberFormat="1" applyFont="1" applyBorder="1" applyAlignment="1">
      <alignment horizontal="right" wrapText="1"/>
    </xf>
    <xf numFmtId="38" fontId="1" fillId="0" borderId="0" xfId="0" applyNumberFormat="1" applyFont="1" applyBorder="1" applyAlignment="1"/>
    <xf numFmtId="38" fontId="21" fillId="0" borderId="0" xfId="0" applyNumberFormat="1" applyFont="1" applyBorder="1" applyAlignment="1">
      <alignment horizontal="left"/>
    </xf>
    <xf numFmtId="38" fontId="23" fillId="0" borderId="14" xfId="0" applyNumberFormat="1" applyFont="1" applyBorder="1" applyAlignment="1">
      <alignment horizontal="right"/>
    </xf>
  </cellXfs>
  <cellStyles count="97">
    <cellStyle name="£Z_x0004_Ç_x0006_^_x0004_" xfId="45"/>
    <cellStyle name="£Z_x0004_Ç_x0006_^_x0004_ 2" xfId="46"/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Comma 2" xfId="74"/>
    <cellStyle name="Comma 2 2" xfId="75"/>
    <cellStyle name="Comma 3" xfId="76"/>
    <cellStyle name="Currency 2" xfId="77"/>
    <cellStyle name="Explanatory Text" xfId="28" builtinId="53" customBuiltin="1"/>
    <cellStyle name="Explanatory Text 2" xfId="78"/>
    <cellStyle name="Good" xfId="29" builtinId="26" customBuiltin="1"/>
    <cellStyle name="Good 2" xfId="79"/>
    <cellStyle name="Heading 1" xfId="30" builtinId="16" customBuiltin="1"/>
    <cellStyle name="Heading 1 2" xfId="80"/>
    <cellStyle name="Heading 2" xfId="31" builtinId="17" customBuiltin="1"/>
    <cellStyle name="Heading 2 2" xfId="81"/>
    <cellStyle name="Heading 3" xfId="32" builtinId="18" customBuiltin="1"/>
    <cellStyle name="Heading 3 2" xfId="82"/>
    <cellStyle name="Heading 4" xfId="33" builtinId="19" customBuiltin="1"/>
    <cellStyle name="Heading 4 2" xfId="83"/>
    <cellStyle name="Input" xfId="34" builtinId="20" customBuiltin="1"/>
    <cellStyle name="Input 2" xfId="84"/>
    <cellStyle name="Linked Cell" xfId="35" builtinId="24" customBuiltin="1"/>
    <cellStyle name="Linked Cell 2" xfId="85"/>
    <cellStyle name="Neutral" xfId="36" builtinId="28" customBuiltin="1"/>
    <cellStyle name="Neutral 2" xfId="86"/>
    <cellStyle name="Normal" xfId="0" builtinId="0"/>
    <cellStyle name="Normal 2" xfId="43"/>
    <cellStyle name="Normal 2 2" xfId="87"/>
    <cellStyle name="Normal 3" xfId="88"/>
    <cellStyle name="Normal 4" xfId="44"/>
    <cellStyle name="Note" xfId="37" builtinId="10" customBuiltin="1"/>
    <cellStyle name="Note 2" xfId="89"/>
    <cellStyle name="Output" xfId="38" builtinId="21" customBuiltin="1"/>
    <cellStyle name="Output 2" xfId="90"/>
    <cellStyle name="Percent" xfId="39" builtinId="5"/>
    <cellStyle name="Percent 2" xfId="91"/>
    <cellStyle name="Percent 2 2" xfId="92"/>
    <cellStyle name="Percent 3" xfId="93"/>
    <cellStyle name="Title" xfId="40" builtinId="15" customBuiltin="1"/>
    <cellStyle name="Title 2" xfId="94"/>
    <cellStyle name="Total" xfId="41" builtinId="25" customBuiltin="1"/>
    <cellStyle name="Total 2" xfId="95"/>
    <cellStyle name="Warning Text" xfId="42" builtinId="11" customBuiltin="1"/>
    <cellStyle name="Warning Text 2" xfId="96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DSH/Payments(SvcDate)/FFY12/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Assessment/Payments/FY2013/Q1/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UPL/UPL%20-%20Outpatient/FY2012/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 t="str">
            <v/>
          </cell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 t="str">
            <v/>
          </cell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 t="str">
            <v/>
          </cell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 t="str">
            <v/>
          </cell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 t="str">
            <v/>
          </cell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 t="str">
            <v/>
          </cell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3" sqref="A3"/>
    </sheetView>
  </sheetViews>
  <sheetFormatPr defaultRowHeight="12.75" x14ac:dyDescent="0.2"/>
  <cols>
    <col min="1" max="1" width="3.7109375" style="1" customWidth="1"/>
    <col min="2" max="2" width="9.85546875" style="1" hidden="1" customWidth="1"/>
    <col min="3" max="3" width="33.28515625" style="1" bestFit="1" customWidth="1"/>
    <col min="4" max="8" width="12.7109375" style="1" bestFit="1" customWidth="1"/>
    <col min="9" max="9" width="12.7109375" style="1" customWidth="1"/>
    <col min="10" max="10" width="12.7109375" style="1" bestFit="1" customWidth="1"/>
    <col min="11" max="11" width="9.7109375" style="1" bestFit="1" customWidth="1"/>
    <col min="12" max="16384" width="9.140625" style="1"/>
  </cols>
  <sheetData>
    <row r="1" spans="1:10" ht="23.25" x14ac:dyDescent="0.3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16.5" customHeight="1" x14ac:dyDescent="0.25">
      <c r="A2" s="30" t="s">
        <v>18</v>
      </c>
      <c r="B2" s="30"/>
      <c r="C2" s="2"/>
      <c r="D2" s="31">
        <v>2017</v>
      </c>
      <c r="E2" s="2"/>
      <c r="F2" s="2"/>
      <c r="G2" s="2"/>
      <c r="H2" s="2"/>
      <c r="I2" s="2"/>
      <c r="J2" s="2"/>
    </row>
    <row r="3" spans="1:10" s="3" customFormat="1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4" t="s">
        <v>12</v>
      </c>
      <c r="B5" s="4"/>
      <c r="C5" s="5"/>
      <c r="D5" s="6" t="s">
        <v>2</v>
      </c>
      <c r="E5" s="6" t="s">
        <v>3</v>
      </c>
      <c r="F5" s="6" t="s">
        <v>1</v>
      </c>
      <c r="G5" s="7"/>
      <c r="H5" s="36" t="str">
        <f>"Federal Fiscal Year " &amp; $D$2-1</f>
        <v>Federal Fiscal Year 2016</v>
      </c>
      <c r="I5" s="36"/>
      <c r="J5" s="36"/>
    </row>
    <row r="6" spans="1:10" x14ac:dyDescent="0.2">
      <c r="C6" s="1" t="s">
        <v>6</v>
      </c>
      <c r="D6" s="25">
        <f>+D12*0.25</f>
        <v>459000</v>
      </c>
      <c r="E6" s="19">
        <f>ROUNDDOWN(D6/$J$6*$J$7,0)</f>
        <v>1083338</v>
      </c>
      <c r="F6" s="19">
        <f>SUM(D6:E6)</f>
        <v>1542338</v>
      </c>
      <c r="G6" s="3"/>
      <c r="I6" s="8" t="s">
        <v>5</v>
      </c>
      <c r="J6" s="32">
        <f>1-J7</f>
        <v>0.29759999999999998</v>
      </c>
    </row>
    <row r="7" spans="1:10" ht="14.25" customHeight="1" x14ac:dyDescent="0.25">
      <c r="A7" s="2"/>
      <c r="B7" s="2"/>
      <c r="C7" s="2"/>
      <c r="D7" s="26"/>
      <c r="E7" s="26"/>
      <c r="F7" s="26"/>
      <c r="G7" s="2"/>
      <c r="I7" s="8" t="s">
        <v>4</v>
      </c>
      <c r="J7" s="29">
        <v>0.70240000000000002</v>
      </c>
    </row>
    <row r="8" spans="1:10" ht="15" customHeight="1" x14ac:dyDescent="0.25">
      <c r="A8" s="4" t="s">
        <v>13</v>
      </c>
      <c r="B8" s="4"/>
      <c r="C8" s="5"/>
      <c r="D8" s="27" t="s">
        <v>2</v>
      </c>
      <c r="E8" s="27" t="s">
        <v>3</v>
      </c>
      <c r="F8" s="27" t="s">
        <v>1</v>
      </c>
      <c r="G8" s="7"/>
    </row>
    <row r="9" spans="1:10" ht="14.25" customHeight="1" x14ac:dyDescent="0.25">
      <c r="C9" s="1" t="s">
        <v>6</v>
      </c>
      <c r="D9" s="25">
        <f>+D12*0.75</f>
        <v>1377000</v>
      </c>
      <c r="E9" s="19">
        <f>ROUNDDOWN(D9/$J$10*$J$11,0)</f>
        <v>3197750</v>
      </c>
      <c r="F9" s="19">
        <f>SUM(D9:E9)</f>
        <v>4574750</v>
      </c>
      <c r="G9" s="3"/>
      <c r="H9" s="36" t="str">
        <f>"Federal Fiscal Year " &amp; $D$2</f>
        <v>Federal Fiscal Year 2017</v>
      </c>
      <c r="I9" s="36"/>
      <c r="J9" s="36"/>
    </row>
    <row r="10" spans="1:10" ht="14.25" customHeight="1" x14ac:dyDescent="0.25">
      <c r="A10" s="2"/>
      <c r="B10" s="2"/>
      <c r="C10" s="2"/>
      <c r="D10" s="26"/>
      <c r="E10" s="26"/>
      <c r="F10" s="26"/>
      <c r="G10" s="2"/>
      <c r="I10" s="8" t="s">
        <v>5</v>
      </c>
      <c r="J10" s="32">
        <f>1-J11</f>
        <v>0.30100000000000005</v>
      </c>
    </row>
    <row r="11" spans="1:10" ht="13.5" customHeight="1" x14ac:dyDescent="0.25">
      <c r="A11" s="4" t="s">
        <v>8</v>
      </c>
      <c r="B11" s="4"/>
      <c r="C11" s="5"/>
      <c r="D11" s="27" t="s">
        <v>2</v>
      </c>
      <c r="E11" s="27" t="s">
        <v>3</v>
      </c>
      <c r="F11" s="27" t="s">
        <v>1</v>
      </c>
      <c r="G11" s="7"/>
      <c r="I11" s="8" t="s">
        <v>4</v>
      </c>
      <c r="J11" s="29">
        <v>0.69899999999999995</v>
      </c>
    </row>
    <row r="12" spans="1:10" x14ac:dyDescent="0.2">
      <c r="C12" s="1" t="s">
        <v>6</v>
      </c>
      <c r="D12" s="28">
        <f>1836000</f>
        <v>1836000</v>
      </c>
      <c r="E12" s="19">
        <f>+E6+E9</f>
        <v>4281088</v>
      </c>
      <c r="F12" s="19">
        <f>ROUNDDOWN(D12+E12,0)</f>
        <v>6117088</v>
      </c>
      <c r="G12" s="3"/>
      <c r="I12" s="3"/>
    </row>
    <row r="13" spans="1:10" x14ac:dyDescent="0.2">
      <c r="A13" s="3"/>
      <c r="B13" s="3"/>
      <c r="C13" s="3"/>
      <c r="D13" s="3"/>
      <c r="E13" s="3"/>
      <c r="F13" s="3"/>
      <c r="G13" s="3"/>
      <c r="H13" s="3"/>
    </row>
    <row r="15" spans="1:10" x14ac:dyDescent="0.2">
      <c r="F15" s="34"/>
      <c r="G15" s="34"/>
    </row>
    <row r="16" spans="1:10" x14ac:dyDescent="0.2">
      <c r="A16" s="3"/>
      <c r="B16" s="3"/>
      <c r="C16" s="3"/>
      <c r="F16" s="34"/>
      <c r="G16" s="34"/>
      <c r="H16" s="3"/>
      <c r="I16" s="3"/>
      <c r="J16" s="3"/>
    </row>
    <row r="17" spans="1:10" x14ac:dyDescent="0.2">
      <c r="A17" s="3"/>
      <c r="B17" s="3"/>
      <c r="C17" s="3"/>
      <c r="E17" s="3"/>
      <c r="F17" s="17" t="s">
        <v>7</v>
      </c>
      <c r="G17" s="17" t="s">
        <v>9</v>
      </c>
      <c r="H17" s="17" t="s">
        <v>10</v>
      </c>
      <c r="I17" s="17" t="s">
        <v>11</v>
      </c>
      <c r="J17" s="24" t="s">
        <v>1</v>
      </c>
    </row>
    <row r="18" spans="1:10" ht="29.25" customHeight="1" thickBot="1" x14ac:dyDescent="0.25">
      <c r="A18" s="15" t="s">
        <v>28</v>
      </c>
      <c r="B18" s="15"/>
      <c r="C18" s="15" t="s">
        <v>16</v>
      </c>
      <c r="D18" s="15" t="s">
        <v>0</v>
      </c>
      <c r="E18" s="16" t="s">
        <v>14</v>
      </c>
      <c r="F18" s="33" t="str">
        <f>"(FFY "&amp;$D$2-1&amp;" 
Match Rate)"</f>
        <v>(FFY 2016 
Match Rate)</v>
      </c>
      <c r="G18" s="33" t="str">
        <f>"(FFY "&amp;$D$2&amp;" 
Match Rate)"</f>
        <v>(FFY 2017 
Match Rate)</v>
      </c>
      <c r="H18" s="33" t="str">
        <f>"(FFY "&amp;$D$2&amp;" 
Match Rate)"</f>
        <v>(FFY 2017 
Match Rate)</v>
      </c>
      <c r="I18" s="33" t="str">
        <f>"(FFY "&amp;$D$2&amp;" 
Match Rate)"</f>
        <v>(FFY 2017 
Match Rate)</v>
      </c>
      <c r="J18" s="18" t="str">
        <f>J17</f>
        <v>Total</v>
      </c>
    </row>
    <row r="19" spans="1:10" x14ac:dyDescent="0.2">
      <c r="A19" s="3" t="s">
        <v>29</v>
      </c>
      <c r="B19" s="3">
        <v>876000525088</v>
      </c>
      <c r="C19" s="9" t="s">
        <v>19</v>
      </c>
      <c r="D19" s="10">
        <v>0.74450000000000005</v>
      </c>
      <c r="E19" s="19">
        <f>ROUND(D19*$F$12,2)</f>
        <v>4554172.0199999996</v>
      </c>
      <c r="F19" s="19">
        <f>ROUND(D19*$F$6, 2)</f>
        <v>1148270.6399999999</v>
      </c>
      <c r="G19" s="19">
        <f>ROUND(($F$9/3)*D19, 2)</f>
        <v>1135300.46</v>
      </c>
      <c r="H19" s="19">
        <f>ROUND(($F$9/3)*D19, 2)</f>
        <v>1135300.46</v>
      </c>
      <c r="I19" s="19">
        <f>ROUND(($F$9/3)*D19, 2)</f>
        <v>1135300.46</v>
      </c>
      <c r="J19" s="20">
        <f>SUM(F19:I19)</f>
        <v>4554172.0199999996</v>
      </c>
    </row>
    <row r="20" spans="1:10" x14ac:dyDescent="0.2">
      <c r="A20" s="1" t="s">
        <v>29</v>
      </c>
      <c r="B20" s="1">
        <v>942854058211</v>
      </c>
      <c r="C20" s="9" t="s">
        <v>20</v>
      </c>
      <c r="D20" s="10">
        <v>0.1128</v>
      </c>
      <c r="E20" s="19">
        <f t="shared" ref="E20:E27" si="0">ROUND(D20*$F$12,2)</f>
        <v>690007.53</v>
      </c>
      <c r="F20" s="19">
        <f t="shared" ref="F20:F27" si="1">ROUND(D20*$F$6, 2)</f>
        <v>173975.73</v>
      </c>
      <c r="G20" s="19">
        <f t="shared" ref="G20:G27" si="2">ROUND(($F$9/3)*D20, 2)</f>
        <v>172010.6</v>
      </c>
      <c r="H20" s="19">
        <f t="shared" ref="H20:H27" si="3">ROUND(($F$9/3)*D20, 2)</f>
        <v>172010.6</v>
      </c>
      <c r="I20" s="19">
        <f t="shared" ref="I20:I27" si="4">ROUND(($F$9/3)*D20, 2)</f>
        <v>172010.6</v>
      </c>
      <c r="J20" s="20">
        <f>SUM(F20:I20)</f>
        <v>690007.53</v>
      </c>
    </row>
    <row r="21" spans="1:10" x14ac:dyDescent="0.2">
      <c r="A21" s="1" t="s">
        <v>29</v>
      </c>
      <c r="B21" s="1">
        <v>870269232209</v>
      </c>
      <c r="C21" s="9" t="s">
        <v>21</v>
      </c>
      <c r="D21" s="10">
        <v>2.0999999999999999E-3</v>
      </c>
      <c r="E21" s="19">
        <f t="shared" si="0"/>
        <v>12845.88</v>
      </c>
      <c r="F21" s="19">
        <f t="shared" si="1"/>
        <v>3238.91</v>
      </c>
      <c r="G21" s="19">
        <f t="shared" si="2"/>
        <v>3202.33</v>
      </c>
      <c r="H21" s="19">
        <f t="shared" si="3"/>
        <v>3202.33</v>
      </c>
      <c r="I21" s="19">
        <f t="shared" si="4"/>
        <v>3202.33</v>
      </c>
      <c r="J21" s="20">
        <f t="shared" ref="J21:J27" si="5">SUM(F21:I21)</f>
        <v>12845.9</v>
      </c>
    </row>
    <row r="22" spans="1:10" x14ac:dyDescent="0.2">
      <c r="A22" s="1" t="s">
        <v>29</v>
      </c>
      <c r="B22" s="1">
        <v>870269232338</v>
      </c>
      <c r="C22" s="9" t="s">
        <v>22</v>
      </c>
      <c r="D22" s="10">
        <v>8.2299999999999998E-2</v>
      </c>
      <c r="E22" s="19">
        <f t="shared" si="0"/>
        <v>503436.34</v>
      </c>
      <c r="F22" s="19">
        <f t="shared" si="1"/>
        <v>126934.42</v>
      </c>
      <c r="G22" s="19">
        <f t="shared" si="2"/>
        <v>125500.64</v>
      </c>
      <c r="H22" s="19">
        <f t="shared" si="3"/>
        <v>125500.64</v>
      </c>
      <c r="I22" s="19">
        <f t="shared" si="4"/>
        <v>125500.64</v>
      </c>
      <c r="J22" s="20">
        <f t="shared" si="5"/>
        <v>503436.34</v>
      </c>
    </row>
    <row r="23" spans="1:10" x14ac:dyDescent="0.2">
      <c r="A23" s="1" t="s">
        <v>31</v>
      </c>
      <c r="B23" s="1">
        <v>870269232162</v>
      </c>
      <c r="C23" s="9" t="s">
        <v>23</v>
      </c>
      <c r="D23" s="10">
        <v>2.69E-2</v>
      </c>
      <c r="E23" s="19">
        <f t="shared" si="0"/>
        <v>164549.67000000001</v>
      </c>
      <c r="F23" s="19">
        <f t="shared" si="1"/>
        <v>41488.89</v>
      </c>
      <c r="G23" s="19">
        <f t="shared" si="2"/>
        <v>41020.26</v>
      </c>
      <c r="H23" s="19">
        <f t="shared" si="3"/>
        <v>41020.26</v>
      </c>
      <c r="I23" s="19">
        <f t="shared" si="4"/>
        <v>41020.26</v>
      </c>
      <c r="J23" s="20">
        <f t="shared" si="5"/>
        <v>164549.67000000001</v>
      </c>
    </row>
    <row r="24" spans="1:10" x14ac:dyDescent="0.2">
      <c r="A24" s="1" t="s">
        <v>30</v>
      </c>
      <c r="B24" s="1">
        <v>870269232274</v>
      </c>
      <c r="C24" s="9" t="s">
        <v>24</v>
      </c>
      <c r="D24" s="10">
        <v>1.9599999999999999E-2</v>
      </c>
      <c r="E24" s="19">
        <f t="shared" si="0"/>
        <v>119894.92</v>
      </c>
      <c r="F24" s="19">
        <f t="shared" si="1"/>
        <v>30229.82</v>
      </c>
      <c r="G24" s="19">
        <f t="shared" si="2"/>
        <v>29888.37</v>
      </c>
      <c r="H24" s="19">
        <f t="shared" si="3"/>
        <v>29888.37</v>
      </c>
      <c r="I24" s="19">
        <f t="shared" si="4"/>
        <v>29888.37</v>
      </c>
      <c r="J24" s="20">
        <f>SUM(F24:I24)</f>
        <v>119894.93</v>
      </c>
    </row>
    <row r="25" spans="1:10" x14ac:dyDescent="0.2">
      <c r="A25" s="1" t="s">
        <v>29</v>
      </c>
      <c r="B25" s="1">
        <v>621650573021</v>
      </c>
      <c r="C25" s="9" t="s">
        <v>25</v>
      </c>
      <c r="D25" s="10">
        <v>5.5999999999999999E-3</v>
      </c>
      <c r="E25" s="19">
        <f t="shared" si="0"/>
        <v>34255.69</v>
      </c>
      <c r="F25" s="19">
        <f t="shared" si="1"/>
        <v>8637.09</v>
      </c>
      <c r="G25" s="19">
        <f t="shared" si="2"/>
        <v>8539.5300000000007</v>
      </c>
      <c r="H25" s="19">
        <f t="shared" si="3"/>
        <v>8539.5300000000007</v>
      </c>
      <c r="I25" s="19">
        <f t="shared" si="4"/>
        <v>8539.5300000000007</v>
      </c>
      <c r="J25" s="20">
        <f t="shared" si="5"/>
        <v>34255.68</v>
      </c>
    </row>
    <row r="26" spans="1:10" x14ac:dyDescent="0.2">
      <c r="A26" s="1" t="s">
        <v>29</v>
      </c>
      <c r="B26" s="1">
        <v>621795214002</v>
      </c>
      <c r="C26" s="9" t="s">
        <v>26</v>
      </c>
      <c r="D26" s="10">
        <v>1.1000000000000001E-3</v>
      </c>
      <c r="E26" s="19">
        <f t="shared" si="0"/>
        <v>6728.8</v>
      </c>
      <c r="F26" s="19">
        <f t="shared" si="1"/>
        <v>1696.57</v>
      </c>
      <c r="G26" s="19">
        <f t="shared" si="2"/>
        <v>1677.41</v>
      </c>
      <c r="H26" s="19">
        <f t="shared" si="3"/>
        <v>1677.41</v>
      </c>
      <c r="I26" s="19">
        <f t="shared" si="4"/>
        <v>1677.41</v>
      </c>
      <c r="J26" s="20">
        <f t="shared" si="5"/>
        <v>6728.8</v>
      </c>
    </row>
    <row r="27" spans="1:10" x14ac:dyDescent="0.2">
      <c r="A27" s="1" t="s">
        <v>29</v>
      </c>
      <c r="B27" s="1">
        <v>876000525494</v>
      </c>
      <c r="C27" s="3" t="s">
        <v>27</v>
      </c>
      <c r="D27" s="10">
        <v>5.1000000000000004E-3</v>
      </c>
      <c r="E27" s="19">
        <f t="shared" si="0"/>
        <v>31197.15</v>
      </c>
      <c r="F27" s="19">
        <f t="shared" si="1"/>
        <v>7865.92</v>
      </c>
      <c r="G27" s="19">
        <f t="shared" si="2"/>
        <v>7777.08</v>
      </c>
      <c r="H27" s="19">
        <f t="shared" si="3"/>
        <v>7777.08</v>
      </c>
      <c r="I27" s="19">
        <f t="shared" si="4"/>
        <v>7777.08</v>
      </c>
      <c r="J27" s="20">
        <f t="shared" si="5"/>
        <v>31197.160000000003</v>
      </c>
    </row>
    <row r="28" spans="1:10" ht="13.5" thickBot="1" x14ac:dyDescent="0.25">
      <c r="C28" s="11" t="s">
        <v>15</v>
      </c>
      <c r="D28" s="12">
        <f t="shared" ref="D28:I28" si="6">SUM(D19:D27)</f>
        <v>1.0000000000000002</v>
      </c>
      <c r="E28" s="21">
        <f t="shared" si="6"/>
        <v>6117088</v>
      </c>
      <c r="F28" s="22">
        <f t="shared" si="6"/>
        <v>1542337.9899999998</v>
      </c>
      <c r="G28" s="22">
        <f t="shared" si="6"/>
        <v>1524916.6800000002</v>
      </c>
      <c r="H28" s="22">
        <f t="shared" si="6"/>
        <v>1524916.6800000002</v>
      </c>
      <c r="I28" s="22">
        <f t="shared" si="6"/>
        <v>1524916.6800000002</v>
      </c>
      <c r="J28" s="23">
        <f>SUM(F28:I28)</f>
        <v>6117088.0299999993</v>
      </c>
    </row>
    <row r="29" spans="1:10" ht="13.5" thickTop="1" x14ac:dyDescent="0.2">
      <c r="C29" s="3"/>
      <c r="D29" s="13"/>
      <c r="E29" s="13"/>
      <c r="F29" s="13"/>
      <c r="G29" s="13"/>
      <c r="H29" s="13"/>
      <c r="I29" s="14"/>
      <c r="J29" s="13"/>
    </row>
  </sheetData>
  <mergeCells count="3">
    <mergeCell ref="A1:J1"/>
    <mergeCell ref="H5:J5"/>
    <mergeCell ref="H9:J9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Payment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</dc:creator>
  <cp:lastModifiedBy>Jie Savage</cp:lastModifiedBy>
  <cp:lastPrinted>2014-01-02T18:05:04Z</cp:lastPrinted>
  <dcterms:created xsi:type="dcterms:W3CDTF">2001-01-11T18:11:23Z</dcterms:created>
  <dcterms:modified xsi:type="dcterms:W3CDTF">2016-03-24T15:35:45Z</dcterms:modified>
</cp:coreProperties>
</file>