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19080" windowHeight="8445"/>
  </bookViews>
  <sheets>
    <sheet name="2007" sheetId="23" r:id="rId1"/>
  </sheets>
  <definedNames>
    <definedName name="_xlnm.Print_Area" localSheetId="0">'2007'!$B$1:$W$49</definedName>
  </definedNames>
  <calcPr calcId="125725"/>
</workbook>
</file>

<file path=xl/calcChain.xml><?xml version="1.0" encoding="utf-8"?>
<calcChain xmlns="http://schemas.openxmlformats.org/spreadsheetml/2006/main">
  <c r="G28" i="23"/>
  <c r="G21"/>
  <c r="G18"/>
  <c r="G15"/>
  <c r="G14"/>
  <c r="G7"/>
  <c r="G3"/>
  <c r="G36"/>
  <c r="G35"/>
  <c r="G34"/>
  <c r="G32"/>
  <c r="G31"/>
  <c r="G30"/>
  <c r="G29"/>
  <c r="G27"/>
  <c r="G25"/>
  <c r="G24"/>
  <c r="G23"/>
  <c r="G22"/>
  <c r="G20"/>
  <c r="G19"/>
  <c r="G17"/>
  <c r="G16"/>
  <c r="G13"/>
  <c r="G12"/>
  <c r="G11"/>
  <c r="G10"/>
  <c r="G9"/>
  <c r="G8"/>
  <c r="G6"/>
  <c r="G5"/>
  <c r="G4"/>
  <c r="AB5"/>
  <c r="AB6"/>
  <c r="AB7"/>
  <c r="AB8"/>
  <c r="AB10"/>
  <c r="AB11"/>
  <c r="AB12"/>
  <c r="AB13"/>
  <c r="AB16"/>
  <c r="AB17"/>
  <c r="AB19"/>
  <c r="AB20"/>
  <c r="AB22"/>
  <c r="AB24"/>
  <c r="AB26"/>
  <c r="AB27"/>
  <c r="AB31"/>
  <c r="AB33"/>
  <c r="AB34"/>
  <c r="X36" l="1"/>
  <c r="X4"/>
  <c r="X5"/>
  <c r="X6"/>
  <c r="X7"/>
  <c r="X8"/>
  <c r="X9"/>
  <c r="X10"/>
  <c r="X11"/>
  <c r="X12"/>
  <c r="X13"/>
  <c r="X14"/>
  <c r="X15"/>
  <c r="X16"/>
  <c r="X17"/>
  <c r="X18"/>
  <c r="X19"/>
  <c r="X20"/>
  <c r="X21"/>
  <c r="X22"/>
  <c r="X23"/>
  <c r="X24"/>
  <c r="X25"/>
  <c r="X26"/>
  <c r="X27"/>
  <c r="X28"/>
  <c r="X29"/>
  <c r="X30"/>
  <c r="X31"/>
  <c r="X32"/>
  <c r="X33"/>
  <c r="X34"/>
  <c r="X35"/>
  <c r="X3"/>
  <c r="Y39"/>
  <c r="AB36"/>
  <c r="Z36"/>
  <c r="Z35"/>
  <c r="AA35" s="1"/>
  <c r="AB35" s="1"/>
  <c r="Z34"/>
  <c r="Z33"/>
  <c r="Z32"/>
  <c r="Z31"/>
  <c r="Z30"/>
  <c r="Z29"/>
  <c r="Z28"/>
  <c r="Z27"/>
  <c r="Z26"/>
  <c r="Z25"/>
  <c r="AA25" s="1"/>
  <c r="AB25" s="1"/>
  <c r="Z24"/>
  <c r="Z23"/>
  <c r="AA23" s="1"/>
  <c r="AB23" s="1"/>
  <c r="Z22"/>
  <c r="Z21"/>
  <c r="Z20"/>
  <c r="Z19"/>
  <c r="Z18"/>
  <c r="AA18" s="1"/>
  <c r="AB18" s="1"/>
  <c r="Z17"/>
  <c r="Z16"/>
  <c r="Z15"/>
  <c r="AA15" s="1"/>
  <c r="AB15" s="1"/>
  <c r="Z14"/>
  <c r="AA14" s="1"/>
  <c r="AB14" s="1"/>
  <c r="Z13"/>
  <c r="Z12"/>
  <c r="Z11"/>
  <c r="Z10"/>
  <c r="Z9"/>
  <c r="AA9" s="1"/>
  <c r="AB9" s="1"/>
  <c r="Z8"/>
  <c r="Z7"/>
  <c r="Z6"/>
  <c r="Z5"/>
  <c r="Z4"/>
  <c r="AA4" s="1"/>
  <c r="AB3"/>
  <c r="Z3"/>
  <c r="AB4" l="1"/>
  <c r="Z39"/>
  <c r="X39"/>
  <c r="X41" s="1"/>
  <c r="AA29"/>
  <c r="AB29" s="1"/>
  <c r="AA21"/>
  <c r="AB21" s="1"/>
  <c r="AA28"/>
  <c r="AB28" s="1"/>
  <c r="AA30"/>
  <c r="AB30" s="1"/>
  <c r="AA32"/>
  <c r="AB32" s="1"/>
  <c r="AB38" l="1"/>
  <c r="AA38"/>
  <c r="AA45"/>
  <c r="AA43"/>
  <c r="AA51"/>
  <c r="AA47" l="1"/>
  <c r="AA49" s="1"/>
</calcChain>
</file>

<file path=xl/sharedStrings.xml><?xml version="1.0" encoding="utf-8"?>
<sst xmlns="http://schemas.openxmlformats.org/spreadsheetml/2006/main" count="160" uniqueCount="83">
  <si>
    <t>Hospital Name</t>
  </si>
  <si>
    <t>Medicaid Inpatient Utilization Rate (MIUR)</t>
  </si>
  <si>
    <t>Low Income Utilization Rate (LIUR)</t>
  </si>
  <si>
    <t>IP/OP Medicaid Fee-For-Service (FFS) Basic Rate Payments</t>
  </si>
  <si>
    <t>IP/OP Medicaid Managed Care Organization Payments</t>
  </si>
  <si>
    <t>Supplemental /Enhanced Medicaid IP/OP Payments</t>
  </si>
  <si>
    <t>Total Cost of Care for Medicaid IP/OP Services</t>
  </si>
  <si>
    <t>Total Cost of IP/OP Care for the Uninsured</t>
  </si>
  <si>
    <t>Total Uninsured IP/OP Uncompensated Care Costs</t>
  </si>
  <si>
    <t>Medicaid Disproportionate Share Hospital Payments</t>
  </si>
  <si>
    <t>Allen Memorial Hospital</t>
  </si>
  <si>
    <t>American Fork Hospital</t>
  </si>
  <si>
    <t>Bear River Valley Hospital</t>
  </si>
  <si>
    <t>Beaver Valley Hospital</t>
  </si>
  <si>
    <t>Dixie Medical Center</t>
  </si>
  <si>
    <t>Fillmore Hospital</t>
  </si>
  <si>
    <t>Garfield Memorial Hospital</t>
  </si>
  <si>
    <t>Gunnison Valley Hospital</t>
  </si>
  <si>
    <t>Kane County Hospital</t>
  </si>
  <si>
    <t>Logan Regional Medical Center</t>
  </si>
  <si>
    <t>Milford Valley Memorial Hospital</t>
  </si>
  <si>
    <t xml:space="preserve">Mountain View (Columbia) Hospital </t>
  </si>
  <si>
    <t>Mountain West Medical Center</t>
  </si>
  <si>
    <t>Orem Community Hospital</t>
  </si>
  <si>
    <t>Pioneer Valley Hospital</t>
  </si>
  <si>
    <t>Salt Lake Regional Medical Center</t>
  </si>
  <si>
    <t>San Juan Hospital</t>
  </si>
  <si>
    <t>Utah Valley Regional Medical Center</t>
  </si>
  <si>
    <t>Qualifies.  See Footnote (1)(a).</t>
  </si>
  <si>
    <t>Footnotes:</t>
  </si>
  <si>
    <t>Qualifies.  See Footnote (1)(b).</t>
  </si>
  <si>
    <t>Intermountain Medical Center</t>
  </si>
  <si>
    <t>Sanpete Valley Hospital</t>
  </si>
  <si>
    <t>State Defined DSH Qualification Criteria</t>
  </si>
  <si>
    <t>Central Valley Medical Center</t>
  </si>
  <si>
    <t>Total Medicaid In-State &amp; Out-Of-State Uncompensated Care</t>
  </si>
  <si>
    <t>Medicaid In-State Disproportionate Share Hospital Payments</t>
  </si>
  <si>
    <t>Medicaid OOS Disproportionate Share Hospital Payments</t>
  </si>
  <si>
    <t>*** Remove From Final Report***</t>
  </si>
  <si>
    <t xml:space="preserve">***Supplemental DSH payment of $611,296 exceeded cap of $611,294.  </t>
  </si>
  <si>
    <t xml:space="preserve">***Supplemental DSH payment of $1,040,000 exceeded cap of $1,000,000.  </t>
  </si>
  <si>
    <t>of 34 - DSH payment exceeded UCC.</t>
  </si>
  <si>
    <t xml:space="preserve">Total 
Medicaid IP/OP Payments </t>
  </si>
  <si>
    <t>Ashley Regional Medical Center</t>
  </si>
  <si>
    <t>Delta Community Medical Center</t>
  </si>
  <si>
    <t>Primary Childrens Medical Center</t>
  </si>
  <si>
    <t>Heber Valley Medical Center</t>
  </si>
  <si>
    <t>Uintah Basin Medical Center</t>
  </si>
  <si>
    <t>University Of Utah Hospital</t>
  </si>
  <si>
    <t>Valley View Medical Center</t>
  </si>
  <si>
    <t>Brigham City Hospital</t>
  </si>
  <si>
    <t>St Mark's Hospital</t>
  </si>
  <si>
    <t>Sevier Valley Medical Center</t>
  </si>
  <si>
    <t xml:space="preserve">Castleview Hospital </t>
  </si>
  <si>
    <t>N/A.  See 
Footnote (1)(a).</t>
  </si>
  <si>
    <t>MAX</t>
  </si>
  <si>
    <t>MIN</t>
  </si>
  <si>
    <t>1 hospital (San Juan) exceeded supplemental DSH cap under the State plan by $40,000. 1 hospital (San Juan) also exceeded their UCC.</t>
  </si>
  <si>
    <t>EXCESS UCC AGGREGATED</t>
  </si>
  <si>
    <t>EXCESS UCC AGGREGATED W/OUT IMD</t>
  </si>
  <si>
    <t>EXCESS UCC OF 7 RURALS &amp; UOFU</t>
  </si>
  <si>
    <t>Medicare Supplemental Settlements</t>
  </si>
  <si>
    <t>No applicable Section 1011 payments were reported by the hospitals.</t>
  </si>
  <si>
    <t>(1).</t>
  </si>
  <si>
    <t>(2).</t>
  </si>
  <si>
    <t>(3).</t>
  </si>
  <si>
    <t>(4).</t>
  </si>
  <si>
    <t>Negative uncompensated care amounts represent total payments in excess of total hospital service costs for Medicaid eligible and uninsured patients.</t>
  </si>
  <si>
    <t xml:space="preserve">EXHIBIT 1 </t>
  </si>
  <si>
    <t xml:space="preserve">Uncompensated care is defined as the amount of non-reimbursed costs written off as non-recoverable for services rendered to the uninsured, i.e., indigent, and includes the difference between cost of providing services to those eligible for medical assistance under the State Plan and the payment for those service by the State by Medicaid or any other payer. Uncompensated care also includes, costs incurred for inpatient and outpatient hospital services to individuals with no source of third-party coverage for the hospital services they receive, including all Section 1011 charges for undocumented aliens. The uninsured uncompensated amount cannot include amounts associated with unpaid co-pays or deductibles for individuals with third-party insurance or any other unreimbursed costs associated with inpatient or outpatient services provided to individuals with third-party coverage, but for which such third-party benefit package excludes such services.  Nor does uncompensated care cost include bad debt or payer discounts related to services furnished to individuals who have any form of insurance coverage. The total uncompensated care costs for the uninsured includes the cost of furnishing inpatient and outpatient services less any direct or indirect payments from or on behalf of such uninsured individuals.  Prisoners or other wards of the State are not considered uninsured.  </t>
  </si>
  <si>
    <t>Estimate of Hospital-Specific DSH Limit
(Footnote 2)</t>
  </si>
  <si>
    <t>Uninsured IP/OP Revenues
(Footnote 3)</t>
  </si>
  <si>
    <t>(5).</t>
  </si>
  <si>
    <t>Utah State Hospital (IMD)</t>
  </si>
  <si>
    <t>(6).</t>
  </si>
  <si>
    <t>Amt paid 893,675 less OOS pymt 167,174</t>
  </si>
  <si>
    <t>Amt paid 15,872,468 less OOS pymt 47,111.40</t>
  </si>
  <si>
    <t>Utah State Plan DSH qualification criteria: (a). Rural Hospitals- All rural hospitals qualify automatically for DSH.  (b). Urban, Teaching &amp; State Hospitals- Must have met I and II and either III or IV.  I. Have a MIUR of at least 1%.  II. Have at least 2 obstetricians who have staff privileges &amp; agree to provide these services to individuals entitled to "medical assistance".  III.  Have a MIUR of at least 14%.  IV. Have a LIUR of at least 25%.</t>
  </si>
  <si>
    <t xml:space="preserve">The hospital-specific DSH limit is the lower of the cap set forth in the State Plan or the actual DSH payment for the hospital's estimated uncompensated care costs less any out-of-state DSH monies paid for the Medicaid State Plan rate year ended September 30, 2007. The State IMD DSH limit is set under Federal Register Vol. 72, No. 248. </t>
  </si>
  <si>
    <t>See 
Footnote (6).</t>
  </si>
  <si>
    <t>Total Annual Uncompensated Care Costs
(Footnote 4 &amp; 5)</t>
  </si>
  <si>
    <t>Uncompensated care costs were limited to Medicaid in-state eligible patients.  The hospital was unable to identify specific Medicaid out-of-state and uninsured charges and payments.</t>
  </si>
  <si>
    <t>McKay Dee Hospital</t>
  </si>
</sst>
</file>

<file path=xl/styles.xml><?xml version="1.0" encoding="utf-8"?>
<styleSheet xmlns="http://schemas.openxmlformats.org/spreadsheetml/2006/main">
  <numFmts count="5">
    <numFmt numFmtId="42" formatCode="_(&quot;$&quot;* #,##0_);_(&quot;$&quot;* \(#,##0\);_(&quot;$&quot;* &quot;-&quot;_);_(@_)"/>
    <numFmt numFmtId="41" formatCode="_(* #,##0_);_(* \(#,##0\);_(* &quot;-&quot;_);_(@_)"/>
    <numFmt numFmtId="43" formatCode="_(* #,##0.00_);_(* \(#,##0.00\);_(* &quot;-&quot;??_);_(@_)"/>
    <numFmt numFmtId="164" formatCode="0_);\(0\)"/>
    <numFmt numFmtId="165" formatCode="_(* #,##0.00_);_(* \(#,##0.00\);_(* &quot;-&quot;_);_(@_)"/>
  </numFmts>
  <fonts count="32">
    <font>
      <sz val="11"/>
      <color theme="1"/>
      <name val="Times New Roman"/>
      <family val="2"/>
    </font>
    <font>
      <sz val="11"/>
      <color theme="1"/>
      <name val="Times New Roman"/>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1"/>
      <name val="Calibri"/>
      <family val="2"/>
      <scheme val="minor"/>
    </font>
    <font>
      <sz val="11"/>
      <color theme="1"/>
      <name val="Calibri"/>
      <family val="2"/>
      <scheme val="minor"/>
    </font>
    <font>
      <sz val="12"/>
      <color theme="1"/>
      <name val="Calibri"/>
      <family val="2"/>
      <scheme val="minor"/>
    </font>
    <font>
      <sz val="20"/>
      <color theme="1"/>
      <name val="Calibri"/>
      <family val="2"/>
      <scheme val="minor"/>
    </font>
    <font>
      <sz val="14"/>
      <color theme="1"/>
      <name val="Calibri"/>
      <family val="2"/>
      <scheme val="minor"/>
    </font>
    <font>
      <sz val="14"/>
      <name val="Calibri"/>
      <family val="2"/>
      <scheme val="minor"/>
    </font>
    <font>
      <b/>
      <sz val="26"/>
      <color theme="1"/>
      <name val="Calibri"/>
      <family val="2"/>
      <scheme val="minor"/>
    </font>
    <font>
      <sz val="48"/>
      <color theme="1"/>
      <name val="Calibri"/>
      <family val="2"/>
      <scheme val="minor"/>
    </font>
    <font>
      <sz val="9"/>
      <color theme="1"/>
      <name val="Calibri"/>
      <family val="2"/>
      <scheme val="minor"/>
    </font>
    <font>
      <sz val="9"/>
      <name val="Calibri"/>
      <family val="2"/>
      <scheme val="minor"/>
    </font>
    <font>
      <b/>
      <u/>
      <sz val="14"/>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134">
    <xf numFmtId="0" fontId="0" fillId="0" borderId="0"/>
    <xf numFmtId="43" fontId="1" fillId="0" borderId="0" applyFont="0" applyFill="0" applyBorder="0" applyAlignment="0" applyProtection="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2"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3" fillId="23" borderId="7" applyNumberFormat="0" applyFont="0" applyAlignment="0" applyProtection="0"/>
    <xf numFmtId="0" fontId="16" fillId="20" borderId="8" applyNumberFormat="0" applyAlignment="0" applyProtection="0"/>
    <xf numFmtId="9" fontId="2"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3" fillId="2" borderId="0" applyNumberFormat="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cellStyleXfs>
  <cellXfs count="124">
    <xf numFmtId="0" fontId="0" fillId="0" borderId="0" xfId="0"/>
    <xf numFmtId="0" fontId="22" fillId="0" borderId="0" xfId="0" applyFont="1"/>
    <xf numFmtId="43" fontId="22" fillId="0" borderId="0" xfId="0" applyNumberFormat="1" applyFont="1"/>
    <xf numFmtId="0" fontId="22" fillId="0" borderId="0" xfId="0" applyFont="1" applyFill="1"/>
    <xf numFmtId="164" fontId="22" fillId="0" borderId="0" xfId="0" applyNumberFormat="1" applyFont="1" applyAlignment="1">
      <alignment horizontal="center"/>
    </xf>
    <xf numFmtId="164" fontId="22" fillId="0" borderId="0" xfId="0" applyNumberFormat="1" applyFont="1" applyFill="1" applyAlignment="1">
      <alignment horizontal="center"/>
    </xf>
    <xf numFmtId="0" fontId="22" fillId="0" borderId="0" xfId="0" applyFont="1" applyAlignment="1">
      <alignment horizontal="center" wrapText="1"/>
    </xf>
    <xf numFmtId="43" fontId="22" fillId="0" borderId="11" xfId="0" applyNumberFormat="1" applyFont="1" applyBorder="1"/>
    <xf numFmtId="41" fontId="22" fillId="0" borderId="11" xfId="1" applyNumberFormat="1" applyFont="1" applyFill="1" applyBorder="1" applyAlignment="1">
      <alignment horizontal="right"/>
    </xf>
    <xf numFmtId="10" fontId="22" fillId="0" borderId="11" xfId="133" applyNumberFormat="1" applyFont="1" applyBorder="1" applyAlignment="1">
      <alignment horizontal="right" wrapText="1"/>
    </xf>
    <xf numFmtId="43" fontId="22" fillId="0" borderId="11" xfId="1" applyNumberFormat="1" applyFont="1" applyBorder="1"/>
    <xf numFmtId="43" fontId="22" fillId="24" borderId="11" xfId="0" applyNumberFormat="1" applyFont="1" applyFill="1" applyBorder="1"/>
    <xf numFmtId="10" fontId="22" fillId="24" borderId="11" xfId="133" applyNumberFormat="1" applyFont="1" applyFill="1" applyBorder="1" applyAlignment="1">
      <alignment horizontal="right" wrapText="1"/>
    </xf>
    <xf numFmtId="0" fontId="22" fillId="24" borderId="0" xfId="0" applyFont="1" applyFill="1" applyBorder="1"/>
    <xf numFmtId="0" fontId="22" fillId="24" borderId="0" xfId="0" applyFont="1" applyFill="1"/>
    <xf numFmtId="43" fontId="22" fillId="24" borderId="0" xfId="0" applyNumberFormat="1" applyFont="1" applyFill="1"/>
    <xf numFmtId="41" fontId="22" fillId="0" borderId="0" xfId="0" applyNumberFormat="1" applyFont="1" applyFill="1"/>
    <xf numFmtId="43" fontId="22" fillId="0" borderId="0" xfId="0" applyNumberFormat="1" applyFont="1" applyFill="1"/>
    <xf numFmtId="0" fontId="22" fillId="0" borderId="0" xfId="0" applyFont="1" applyBorder="1"/>
    <xf numFmtId="10" fontId="22" fillId="24" borderId="0" xfId="133" applyNumberFormat="1" applyFont="1" applyFill="1" applyAlignment="1">
      <alignment horizontal="center" wrapText="1"/>
    </xf>
    <xf numFmtId="10" fontId="22" fillId="0" borderId="0" xfId="133" applyNumberFormat="1" applyFont="1" applyAlignment="1">
      <alignment horizontal="center" wrapText="1"/>
    </xf>
    <xf numFmtId="164" fontId="22" fillId="24" borderId="0" xfId="0" applyNumberFormat="1" applyFont="1" applyFill="1" applyAlignment="1">
      <alignment horizontal="center"/>
    </xf>
    <xf numFmtId="164" fontId="22" fillId="24" borderId="0" xfId="0" applyNumberFormat="1" applyFont="1" applyFill="1" applyAlignment="1">
      <alignment horizontal="center" wrapText="1"/>
    </xf>
    <xf numFmtId="164" fontId="22" fillId="24" borderId="0" xfId="133" applyNumberFormat="1" applyFont="1" applyFill="1" applyAlignment="1">
      <alignment horizontal="center" wrapText="1"/>
    </xf>
    <xf numFmtId="43" fontId="22" fillId="24" borderId="0" xfId="0" applyNumberFormat="1" applyFont="1" applyFill="1" applyBorder="1"/>
    <xf numFmtId="0" fontId="22" fillId="0" borderId="0" xfId="0" applyFont="1" applyAlignment="1">
      <alignment vertical="top"/>
    </xf>
    <xf numFmtId="10" fontId="22" fillId="0" borderId="11" xfId="133" applyNumberFormat="1" applyFont="1" applyBorder="1" applyAlignment="1">
      <alignment horizontal="center" wrapText="1"/>
    </xf>
    <xf numFmtId="0" fontId="22" fillId="0" borderId="11" xfId="0" applyFont="1" applyBorder="1" applyAlignment="1">
      <alignment horizontal="center" wrapText="1"/>
    </xf>
    <xf numFmtId="0" fontId="22" fillId="24" borderId="11" xfId="0" applyFont="1" applyFill="1" applyBorder="1" applyAlignment="1">
      <alignment horizontal="center" wrapText="1"/>
    </xf>
    <xf numFmtId="0" fontId="22" fillId="24" borderId="0" xfId="0" applyFont="1" applyFill="1" applyAlignment="1">
      <alignment horizontal="center" wrapText="1"/>
    </xf>
    <xf numFmtId="10" fontId="22" fillId="25" borderId="11" xfId="133" applyNumberFormat="1" applyFont="1" applyFill="1" applyBorder="1" applyAlignment="1">
      <alignment horizontal="center" wrapText="1"/>
    </xf>
    <xf numFmtId="43" fontId="22" fillId="25" borderId="11" xfId="0" applyNumberFormat="1" applyFont="1" applyFill="1" applyBorder="1" applyAlignment="1">
      <alignment horizontal="center" wrapText="1"/>
    </xf>
    <xf numFmtId="10" fontId="22" fillId="25" borderId="11" xfId="133" applyNumberFormat="1" applyFont="1" applyFill="1" applyBorder="1" applyAlignment="1">
      <alignment horizontal="right" wrapText="1"/>
    </xf>
    <xf numFmtId="43" fontId="22" fillId="25" borderId="11" xfId="0" applyNumberFormat="1" applyFont="1" applyFill="1" applyBorder="1"/>
    <xf numFmtId="41" fontId="22" fillId="25" borderId="11" xfId="1" applyNumberFormat="1" applyFont="1" applyFill="1" applyBorder="1" applyAlignment="1">
      <alignment horizontal="right"/>
    </xf>
    <xf numFmtId="0" fontId="22" fillId="25" borderId="0" xfId="0" applyFont="1" applyFill="1" applyBorder="1" applyAlignment="1">
      <alignment horizontal="center" wrapText="1"/>
    </xf>
    <xf numFmtId="165" fontId="22" fillId="0" borderId="0" xfId="1" applyNumberFormat="1" applyFont="1" applyFill="1" applyBorder="1" applyAlignment="1">
      <alignment horizontal="right"/>
    </xf>
    <xf numFmtId="165" fontId="22" fillId="0" borderId="0" xfId="0" applyNumberFormat="1" applyFont="1" applyFill="1"/>
    <xf numFmtId="0" fontId="22" fillId="24" borderId="0" xfId="0" applyFont="1" applyFill="1" applyBorder="1" applyAlignment="1">
      <alignment horizontal="center" wrapText="1"/>
    </xf>
    <xf numFmtId="41" fontId="22" fillId="24" borderId="0" xfId="0" applyNumberFormat="1" applyFont="1" applyFill="1" applyBorder="1" applyAlignment="1">
      <alignment horizontal="right"/>
    </xf>
    <xf numFmtId="10" fontId="22" fillId="24" borderId="0" xfId="133" applyNumberFormat="1" applyFont="1" applyFill="1" applyBorder="1" applyAlignment="1">
      <alignment horizontal="right" wrapText="1"/>
    </xf>
    <xf numFmtId="41" fontId="22" fillId="24" borderId="11" xfId="1" applyNumberFormat="1" applyFont="1" applyFill="1" applyBorder="1" applyAlignment="1">
      <alignment horizontal="right"/>
    </xf>
    <xf numFmtId="0" fontId="22" fillId="25" borderId="11" xfId="0" applyFont="1" applyFill="1" applyBorder="1" applyAlignment="1">
      <alignment horizontal="center" wrapText="1"/>
    </xf>
    <xf numFmtId="0" fontId="21" fillId="24" borderId="0" xfId="0" applyFont="1" applyFill="1" applyBorder="1" applyAlignment="1">
      <alignment horizontal="center" wrapText="1"/>
    </xf>
    <xf numFmtId="43" fontId="22" fillId="0" borderId="0" xfId="1" applyFont="1" applyFill="1" applyAlignment="1">
      <alignment vertical="top"/>
    </xf>
    <xf numFmtId="43" fontId="22" fillId="0" borderId="0" xfId="0" applyNumberFormat="1" applyFont="1" applyBorder="1"/>
    <xf numFmtId="0" fontId="23" fillId="25" borderId="11" xfId="0" applyFont="1" applyFill="1" applyBorder="1" applyAlignment="1">
      <alignment horizontal="center" wrapText="1"/>
    </xf>
    <xf numFmtId="10" fontId="23" fillId="25" borderId="11" xfId="133" applyNumberFormat="1" applyFont="1" applyFill="1" applyBorder="1" applyAlignment="1">
      <alignment horizontal="center" wrapText="1"/>
    </xf>
    <xf numFmtId="43" fontId="23" fillId="25" borderId="11" xfId="0" applyNumberFormat="1" applyFont="1" applyFill="1" applyBorder="1" applyAlignment="1">
      <alignment horizontal="center" wrapText="1"/>
    </xf>
    <xf numFmtId="42" fontId="23" fillId="0" borderId="11" xfId="0" applyNumberFormat="1" applyFont="1" applyBorder="1" applyAlignment="1">
      <alignment horizontal="right"/>
    </xf>
    <xf numFmtId="41" fontId="23" fillId="25" borderId="11" xfId="0" applyNumberFormat="1" applyFont="1" applyFill="1" applyBorder="1" applyAlignment="1">
      <alignment horizontal="right"/>
    </xf>
    <xf numFmtId="41" fontId="23" fillId="0" borderId="11" xfId="0" applyNumberFormat="1" applyFont="1" applyBorder="1" applyAlignment="1">
      <alignment horizontal="right"/>
    </xf>
    <xf numFmtId="41" fontId="23" fillId="0" borderId="11" xfId="0" applyNumberFormat="1" applyFont="1" applyFill="1" applyBorder="1" applyAlignment="1">
      <alignment horizontal="right"/>
    </xf>
    <xf numFmtId="41" fontId="23" fillId="0" borderId="11" xfId="1" applyNumberFormat="1" applyFont="1" applyBorder="1" applyAlignment="1">
      <alignment horizontal="right"/>
    </xf>
    <xf numFmtId="41" fontId="23" fillId="24" borderId="11" xfId="0" applyNumberFormat="1" applyFont="1" applyFill="1" applyBorder="1" applyAlignment="1">
      <alignment horizontal="right"/>
    </xf>
    <xf numFmtId="164" fontId="22" fillId="24" borderId="0" xfId="0" applyNumberFormat="1" applyFont="1" applyFill="1" applyBorder="1" applyAlignment="1">
      <alignment horizontal="center"/>
    </xf>
    <xf numFmtId="43" fontId="22" fillId="25" borderId="12" xfId="0" applyNumberFormat="1" applyFont="1" applyFill="1" applyBorder="1" applyAlignment="1">
      <alignment horizontal="center" wrapText="1"/>
    </xf>
    <xf numFmtId="43" fontId="22" fillId="0" borderId="12" xfId="0" applyNumberFormat="1" applyFont="1" applyBorder="1"/>
    <xf numFmtId="43" fontId="22" fillId="24" borderId="12" xfId="0" applyNumberFormat="1" applyFont="1" applyFill="1" applyBorder="1"/>
    <xf numFmtId="41" fontId="23" fillId="24" borderId="0" xfId="0" applyNumberFormat="1" applyFont="1" applyFill="1" applyBorder="1" applyAlignment="1">
      <alignment horizontal="right"/>
    </xf>
    <xf numFmtId="43" fontId="23" fillId="24" borderId="0" xfId="0" applyNumberFormat="1" applyFont="1" applyFill="1" applyBorder="1" applyAlignment="1">
      <alignment horizontal="center" wrapText="1"/>
    </xf>
    <xf numFmtId="42" fontId="23" fillId="24" borderId="0" xfId="0" applyNumberFormat="1" applyFont="1" applyFill="1" applyBorder="1" applyAlignment="1">
      <alignment horizontal="right"/>
    </xf>
    <xf numFmtId="41" fontId="23" fillId="24" borderId="0" xfId="1" applyNumberFormat="1" applyFont="1" applyFill="1" applyBorder="1" applyAlignment="1">
      <alignment horizontal="right"/>
    </xf>
    <xf numFmtId="43" fontId="27" fillId="24" borderId="0" xfId="0" applyNumberFormat="1" applyFont="1" applyFill="1" applyAlignment="1">
      <alignment horizontal="right" vertical="top" textRotation="180"/>
    </xf>
    <xf numFmtId="0" fontId="24" fillId="24" borderId="0" xfId="0" applyFont="1" applyFill="1" applyAlignment="1">
      <alignment textRotation="180"/>
    </xf>
    <xf numFmtId="0" fontId="25" fillId="24" borderId="0" xfId="0" applyFont="1" applyFill="1" applyBorder="1"/>
    <xf numFmtId="41" fontId="23" fillId="24" borderId="13" xfId="0" applyNumberFormat="1" applyFont="1" applyFill="1" applyBorder="1" applyAlignment="1">
      <alignment horizontal="right"/>
    </xf>
    <xf numFmtId="10" fontId="22" fillId="24" borderId="13" xfId="133" applyNumberFormat="1" applyFont="1" applyFill="1" applyBorder="1" applyAlignment="1">
      <alignment horizontal="right" wrapText="1"/>
    </xf>
    <xf numFmtId="0" fontId="22" fillId="24" borderId="13" xfId="0" applyFont="1" applyFill="1" applyBorder="1" applyAlignment="1">
      <alignment horizontal="center" wrapText="1"/>
    </xf>
    <xf numFmtId="0" fontId="29" fillId="24" borderId="0" xfId="0" applyFont="1" applyFill="1"/>
    <xf numFmtId="0" fontId="30" fillId="24" borderId="0" xfId="0" applyFont="1" applyFill="1"/>
    <xf numFmtId="0" fontId="25" fillId="24" borderId="0" xfId="0" applyFont="1" applyFill="1"/>
    <xf numFmtId="0" fontId="31" fillId="24" borderId="0" xfId="0" applyFont="1" applyFill="1" applyAlignment="1">
      <alignment horizontal="left" vertical="top"/>
    </xf>
    <xf numFmtId="0" fontId="26" fillId="24" borderId="0" xfId="0" applyFont="1" applyFill="1"/>
    <xf numFmtId="10" fontId="25" fillId="24" borderId="0" xfId="133" applyNumberFormat="1" applyFont="1" applyFill="1" applyAlignment="1">
      <alignment horizontal="center" wrapText="1"/>
    </xf>
    <xf numFmtId="0" fontId="25" fillId="24" borderId="0" xfId="0" applyFont="1" applyFill="1" applyAlignment="1">
      <alignment horizontal="center" wrapText="1"/>
    </xf>
    <xf numFmtId="43" fontId="25" fillId="24" borderId="0" xfId="0" applyNumberFormat="1" applyFont="1" applyFill="1"/>
    <xf numFmtId="164" fontId="29" fillId="24" borderId="0" xfId="0" applyNumberFormat="1" applyFont="1" applyFill="1" applyAlignment="1">
      <alignment horizontal="center"/>
    </xf>
    <xf numFmtId="0" fontId="29" fillId="25" borderId="11" xfId="0" applyFont="1" applyFill="1" applyBorder="1" applyAlignment="1">
      <alignment horizontal="center" wrapText="1"/>
    </xf>
    <xf numFmtId="42" fontId="29" fillId="26" borderId="11" xfId="0" applyNumberFormat="1" applyFont="1" applyFill="1" applyBorder="1" applyAlignment="1">
      <alignment horizontal="right" wrapText="1"/>
    </xf>
    <xf numFmtId="41" fontId="29" fillId="25" borderId="11" xfId="0" applyNumberFormat="1" applyFont="1" applyFill="1" applyBorder="1" applyAlignment="1">
      <alignment horizontal="right" wrapText="1"/>
    </xf>
    <xf numFmtId="41" fontId="29" fillId="0" borderId="11" xfId="0" applyNumberFormat="1" applyFont="1" applyBorder="1" applyAlignment="1">
      <alignment horizontal="right"/>
    </xf>
    <xf numFmtId="41" fontId="29" fillId="25" borderId="11" xfId="0" applyNumberFormat="1" applyFont="1" applyFill="1" applyBorder="1" applyAlignment="1">
      <alignment horizontal="right"/>
    </xf>
    <xf numFmtId="41" fontId="29" fillId="0" borderId="11" xfId="1" applyNumberFormat="1" applyFont="1" applyBorder="1" applyAlignment="1">
      <alignment horizontal="right"/>
    </xf>
    <xf numFmtId="41" fontId="29" fillId="24" borderId="11" xfId="0" applyNumberFormat="1" applyFont="1" applyFill="1" applyBorder="1" applyAlignment="1">
      <alignment horizontal="right"/>
    </xf>
    <xf numFmtId="41" fontId="29" fillId="26" borderId="11" xfId="0" applyNumberFormat="1" applyFont="1" applyFill="1" applyBorder="1" applyAlignment="1">
      <alignment horizontal="right" wrapText="1"/>
    </xf>
    <xf numFmtId="41" fontId="29" fillId="24" borderId="13" xfId="0" applyNumberFormat="1" applyFont="1" applyFill="1" applyBorder="1" applyAlignment="1">
      <alignment horizontal="right"/>
    </xf>
    <xf numFmtId="41" fontId="29" fillId="24" borderId="0" xfId="0" applyNumberFormat="1" applyFont="1" applyFill="1" applyBorder="1" applyAlignment="1">
      <alignment horizontal="right"/>
    </xf>
    <xf numFmtId="0" fontId="29" fillId="0" borderId="0" xfId="0" applyFont="1"/>
    <xf numFmtId="165" fontId="22" fillId="0" borderId="0" xfId="0" applyNumberFormat="1" applyFont="1" applyFill="1" applyAlignment="1">
      <alignment vertical="top"/>
    </xf>
    <xf numFmtId="42" fontId="29" fillId="27" borderId="11" xfId="0" applyNumberFormat="1" applyFont="1" applyFill="1" applyBorder="1" applyAlignment="1">
      <alignment horizontal="right" wrapText="1"/>
    </xf>
    <xf numFmtId="41" fontId="23" fillId="25" borderId="14" xfId="0" applyNumberFormat="1" applyFont="1" applyFill="1" applyBorder="1" applyAlignment="1">
      <alignment horizontal="right"/>
    </xf>
    <xf numFmtId="42" fontId="29" fillId="25" borderId="11" xfId="0" applyNumberFormat="1" applyFont="1" applyFill="1" applyBorder="1" applyAlignment="1">
      <alignment horizontal="right" wrapText="1"/>
    </xf>
    <xf numFmtId="10" fontId="23" fillId="25" borderId="14" xfId="133" applyNumberFormat="1" applyFont="1" applyFill="1" applyBorder="1" applyAlignment="1">
      <alignment horizontal="right" wrapText="1"/>
    </xf>
    <xf numFmtId="0" fontId="23" fillId="25" borderId="14" xfId="0" applyFont="1" applyFill="1" applyBorder="1" applyAlignment="1">
      <alignment horizontal="center" wrapText="1"/>
    </xf>
    <xf numFmtId="41" fontId="23" fillId="25" borderId="11" xfId="0" applyNumberFormat="1" applyFont="1" applyFill="1" applyBorder="1" applyAlignment="1">
      <alignment horizontal="center" wrapText="1"/>
    </xf>
    <xf numFmtId="0" fontId="25" fillId="0" borderId="0" xfId="0" applyFont="1" applyFill="1"/>
    <xf numFmtId="41" fontId="25" fillId="0" borderId="0" xfId="0" applyNumberFormat="1" applyFont="1" applyFill="1" applyAlignment="1">
      <alignment vertical="top"/>
    </xf>
    <xf numFmtId="43" fontId="22" fillId="0" borderId="0" xfId="0" applyNumberFormat="1" applyFont="1" applyFill="1" applyBorder="1"/>
    <xf numFmtId="0" fontId="25" fillId="0" borderId="0" xfId="0" applyFont="1" applyFill="1" applyBorder="1"/>
    <xf numFmtId="0" fontId="29" fillId="0" borderId="0" xfId="0" applyFont="1" applyFill="1"/>
    <xf numFmtId="10" fontId="25" fillId="0" borderId="0" xfId="133" applyNumberFormat="1" applyFont="1" applyFill="1" applyAlignment="1">
      <alignment horizontal="center" wrapText="1"/>
    </xf>
    <xf numFmtId="0" fontId="25" fillId="0" borderId="0" xfId="0" applyFont="1" applyFill="1" applyAlignment="1">
      <alignment horizontal="center" wrapText="1"/>
    </xf>
    <xf numFmtId="43" fontId="25" fillId="0" borderId="0" xfId="0" applyNumberFormat="1" applyFont="1" applyFill="1"/>
    <xf numFmtId="43" fontId="27" fillId="0" borderId="0" xfId="0" applyNumberFormat="1" applyFont="1" applyFill="1" applyBorder="1" applyAlignment="1">
      <alignment vertical="top" textRotation="180"/>
    </xf>
    <xf numFmtId="43" fontId="22" fillId="0" borderId="0" xfId="1" applyNumberFormat="1" applyFont="1" applyFill="1" applyAlignment="1">
      <alignment vertical="top"/>
    </xf>
    <xf numFmtId="43" fontId="22" fillId="0" borderId="0" xfId="0" applyNumberFormat="1" applyFont="1" applyFill="1" applyAlignment="1">
      <alignment horizontal="right"/>
    </xf>
    <xf numFmtId="0" fontId="22" fillId="0" borderId="0" xfId="0" applyFont="1" applyFill="1" applyAlignment="1">
      <alignment vertical="top"/>
    </xf>
    <xf numFmtId="0" fontId="22" fillId="0" borderId="0" xfId="0" applyFont="1" applyFill="1" applyBorder="1"/>
    <xf numFmtId="10" fontId="22" fillId="0" borderId="0" xfId="133" applyNumberFormat="1" applyFont="1" applyFill="1" applyAlignment="1">
      <alignment horizontal="center" wrapText="1"/>
    </xf>
    <xf numFmtId="0" fontId="22" fillId="0" borderId="0" xfId="0" applyFont="1" applyFill="1" applyAlignment="1">
      <alignment horizontal="center" wrapText="1"/>
    </xf>
    <xf numFmtId="0" fontId="26" fillId="0" borderId="0" xfId="0" applyFont="1" applyFill="1" applyAlignment="1">
      <alignment horizontal="left" vertical="top"/>
    </xf>
    <xf numFmtId="43" fontId="27" fillId="0" borderId="0" xfId="0" applyNumberFormat="1" applyFont="1" applyFill="1" applyBorder="1" applyAlignment="1">
      <alignment horizontal="right" vertical="top" textRotation="180"/>
    </xf>
    <xf numFmtId="0" fontId="26" fillId="24" borderId="11" xfId="0" applyFont="1" applyFill="1" applyBorder="1" applyAlignment="1">
      <alignment horizontal="left" wrapText="1"/>
    </xf>
    <xf numFmtId="0" fontId="26" fillId="25" borderId="11" xfId="0" applyFont="1" applyFill="1" applyBorder="1" applyAlignment="1">
      <alignment horizontal="left" wrapText="1"/>
    </xf>
    <xf numFmtId="0" fontId="26" fillId="0" borderId="0" xfId="0" applyFont="1" applyFill="1" applyAlignment="1">
      <alignment horizontal="left" vertical="top" wrapText="1"/>
    </xf>
    <xf numFmtId="0" fontId="26" fillId="25" borderId="14" xfId="0" applyFont="1" applyFill="1" applyBorder="1" applyAlignment="1">
      <alignment horizontal="left" wrapText="1"/>
    </xf>
    <xf numFmtId="0" fontId="26" fillId="24" borderId="13" xfId="0" applyFont="1" applyFill="1" applyBorder="1" applyAlignment="1">
      <alignment horizontal="left" wrapText="1"/>
    </xf>
    <xf numFmtId="43" fontId="28" fillId="24" borderId="0" xfId="0" applyNumberFormat="1" applyFont="1" applyFill="1" applyAlignment="1">
      <alignment horizontal="center"/>
    </xf>
    <xf numFmtId="0" fontId="26" fillId="0" borderId="0" xfId="0" applyNumberFormat="1" applyFont="1" applyFill="1" applyAlignment="1">
      <alignment horizontal="left" vertical="top" wrapText="1"/>
    </xf>
    <xf numFmtId="0" fontId="26" fillId="0" borderId="11" xfId="0" applyFont="1" applyFill="1" applyBorder="1" applyAlignment="1">
      <alignment horizontal="left" wrapText="1"/>
    </xf>
    <xf numFmtId="164" fontId="22" fillId="24" borderId="0" xfId="0" applyNumberFormat="1" applyFont="1" applyFill="1" applyBorder="1" applyAlignment="1">
      <alignment horizontal="center"/>
    </xf>
    <xf numFmtId="164" fontId="22" fillId="0" borderId="10" xfId="0" applyNumberFormat="1" applyFont="1" applyBorder="1" applyAlignment="1">
      <alignment horizontal="center"/>
    </xf>
    <xf numFmtId="0" fontId="25" fillId="25" borderId="11" xfId="0" applyFont="1" applyFill="1" applyBorder="1" applyAlignment="1">
      <alignment horizontal="center" wrapText="1"/>
    </xf>
  </cellXfs>
  <cellStyles count="134">
    <cellStyle name="20% - Accent1 2" xfId="3"/>
    <cellStyle name="20% - Accent1 3" xfId="46"/>
    <cellStyle name="20% - Accent1 4" xfId="79"/>
    <cellStyle name="20% - Accent2 2" xfId="4"/>
    <cellStyle name="20% - Accent2 3" xfId="47"/>
    <cellStyle name="20% - Accent2 4" xfId="91"/>
    <cellStyle name="20% - Accent3 2" xfId="5"/>
    <cellStyle name="20% - Accent3 3" xfId="48"/>
    <cellStyle name="20% - Accent3 4" xfId="92"/>
    <cellStyle name="20% - Accent4 2" xfId="6"/>
    <cellStyle name="20% - Accent4 3" xfId="49"/>
    <cellStyle name="20% - Accent4 4" xfId="93"/>
    <cellStyle name="20% - Accent5 2" xfId="7"/>
    <cellStyle name="20% - Accent5 3" xfId="50"/>
    <cellStyle name="20% - Accent5 4" xfId="94"/>
    <cellStyle name="20% - Accent6 2" xfId="8"/>
    <cellStyle name="20% - Accent6 3" xfId="51"/>
    <cellStyle name="20% - Accent6 4" xfId="95"/>
    <cellStyle name="40% - Accent1 2" xfId="9"/>
    <cellStyle name="40% - Accent1 3" xfId="52"/>
    <cellStyle name="40% - Accent1 4" xfId="96"/>
    <cellStyle name="40% - Accent2 2" xfId="10"/>
    <cellStyle name="40% - Accent2 3" xfId="53"/>
    <cellStyle name="40% - Accent2 4" xfId="97"/>
    <cellStyle name="40% - Accent3 2" xfId="11"/>
    <cellStyle name="40% - Accent3 3" xfId="54"/>
    <cellStyle name="40% - Accent3 4" xfId="98"/>
    <cellStyle name="40% - Accent4 2" xfId="12"/>
    <cellStyle name="40% - Accent4 3" xfId="55"/>
    <cellStyle name="40% - Accent4 4" xfId="99"/>
    <cellStyle name="40% - Accent5 2" xfId="13"/>
    <cellStyle name="40% - Accent5 3" xfId="56"/>
    <cellStyle name="40% - Accent5 4" xfId="100"/>
    <cellStyle name="40% - Accent6 2" xfId="14"/>
    <cellStyle name="40% - Accent6 3" xfId="57"/>
    <cellStyle name="40% - Accent6 4" xfId="101"/>
    <cellStyle name="60% - Accent1 2" xfId="15"/>
    <cellStyle name="60% - Accent1 3" xfId="58"/>
    <cellStyle name="60% - Accent1 4" xfId="102"/>
    <cellStyle name="60% - Accent2 2" xfId="16"/>
    <cellStyle name="60% - Accent2 3" xfId="59"/>
    <cellStyle name="60% - Accent2 4" xfId="103"/>
    <cellStyle name="60% - Accent3 2" xfId="17"/>
    <cellStyle name="60% - Accent3 3" xfId="60"/>
    <cellStyle name="60% - Accent3 4" xfId="104"/>
    <cellStyle name="60% - Accent4 2" xfId="18"/>
    <cellStyle name="60% - Accent4 3" xfId="61"/>
    <cellStyle name="60% - Accent4 4" xfId="105"/>
    <cellStyle name="60% - Accent5 2" xfId="19"/>
    <cellStyle name="60% - Accent5 3" xfId="62"/>
    <cellStyle name="60% - Accent5 4" xfId="106"/>
    <cellStyle name="60% - Accent6 2" xfId="20"/>
    <cellStyle name="60% - Accent6 3" xfId="63"/>
    <cellStyle name="60% - Accent6 4" xfId="107"/>
    <cellStyle name="Accent1 2" xfId="21"/>
    <cellStyle name="Accent1 3" xfId="64"/>
    <cellStyle name="Accent1 4" xfId="108"/>
    <cellStyle name="Accent2 2" xfId="22"/>
    <cellStyle name="Accent2 3" xfId="65"/>
    <cellStyle name="Accent2 4" xfId="109"/>
    <cellStyle name="Accent3 2" xfId="23"/>
    <cellStyle name="Accent3 3" xfId="66"/>
    <cellStyle name="Accent3 4" xfId="110"/>
    <cellStyle name="Accent4 2" xfId="24"/>
    <cellStyle name="Accent4 3" xfId="67"/>
    <cellStyle name="Accent4 4" xfId="111"/>
    <cellStyle name="Accent5 2" xfId="25"/>
    <cellStyle name="Accent5 3" xfId="68"/>
    <cellStyle name="Accent5 4" xfId="112"/>
    <cellStyle name="Accent6 2" xfId="26"/>
    <cellStyle name="Accent6 3" xfId="69"/>
    <cellStyle name="Accent6 4" xfId="113"/>
    <cellStyle name="Bad 2" xfId="27"/>
    <cellStyle name="Bad 3" xfId="70"/>
    <cellStyle name="Bad 4" xfId="114"/>
    <cellStyle name="Calculation 2" xfId="28"/>
    <cellStyle name="Calculation 3" xfId="71"/>
    <cellStyle name="Calculation 4" xfId="115"/>
    <cellStyle name="Check Cell 2" xfId="29"/>
    <cellStyle name="Check Cell 3" xfId="72"/>
    <cellStyle name="Check Cell 4" xfId="116"/>
    <cellStyle name="Comma" xfId="1" builtinId="3"/>
    <cellStyle name="Comma 2" xfId="30"/>
    <cellStyle name="Comma 2 2" xfId="89"/>
    <cellStyle name="Comma 2 3" xfId="131"/>
    <cellStyle name="Explanatory Text 2" xfId="31"/>
    <cellStyle name="Explanatory Text 3" xfId="73"/>
    <cellStyle name="Explanatory Text 4" xfId="117"/>
    <cellStyle name="Good 2" xfId="32"/>
    <cellStyle name="Good 3" xfId="74"/>
    <cellStyle name="Good 4" xfId="118"/>
    <cellStyle name="Heading 1 2" xfId="33"/>
    <cellStyle name="Heading 1 3" xfId="75"/>
    <cellStyle name="Heading 1 4" xfId="119"/>
    <cellStyle name="Heading 2 2" xfId="34"/>
    <cellStyle name="Heading 2 3" xfId="76"/>
    <cellStyle name="Heading 2 4" xfId="120"/>
    <cellStyle name="Heading 3 2" xfId="35"/>
    <cellStyle name="Heading 3 3" xfId="77"/>
    <cellStyle name="Heading 3 4" xfId="121"/>
    <cellStyle name="Heading 4 2" xfId="36"/>
    <cellStyle name="Heading 4 3" xfId="78"/>
    <cellStyle name="Heading 4 4" xfId="122"/>
    <cellStyle name="Input 2" xfId="37"/>
    <cellStyle name="Input 3" xfId="80"/>
    <cellStyle name="Input 4" xfId="123"/>
    <cellStyle name="Linked Cell 2" xfId="38"/>
    <cellStyle name="Linked Cell 3" xfId="81"/>
    <cellStyle name="Linked Cell 4" xfId="124"/>
    <cellStyle name="Neutral 2" xfId="39"/>
    <cellStyle name="Neutral 3" xfId="82"/>
    <cellStyle name="Neutral 4" xfId="125"/>
    <cellStyle name="Normal" xfId="0" builtinId="0"/>
    <cellStyle name="Normal 2" xfId="2"/>
    <cellStyle name="Normal 4" xfId="83"/>
    <cellStyle name="Note 2" xfId="40"/>
    <cellStyle name="Note 3" xfId="84"/>
    <cellStyle name="Note 4" xfId="126"/>
    <cellStyle name="Output 2" xfId="41"/>
    <cellStyle name="Output 3" xfId="85"/>
    <cellStyle name="Output 4" xfId="127"/>
    <cellStyle name="Percent" xfId="133" builtinId="5"/>
    <cellStyle name="Percent 2" xfId="42"/>
    <cellStyle name="Percent 2 2" xfId="90"/>
    <cellStyle name="Percent 2 3" xfId="132"/>
    <cellStyle name="Title 2" xfId="43"/>
    <cellStyle name="Title 3" xfId="86"/>
    <cellStyle name="Title 4" xfId="128"/>
    <cellStyle name="Total 2" xfId="44"/>
    <cellStyle name="Total 3" xfId="87"/>
    <cellStyle name="Total 4" xfId="129"/>
    <cellStyle name="Warning Text 2" xfId="45"/>
    <cellStyle name="Warning Text 3" xfId="88"/>
    <cellStyle name="Warning Text 4" xfId="13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60"/>
  <sheetViews>
    <sheetView tabSelected="1" view="pageBreakPreview" zoomScale="40" zoomScaleNormal="75" zoomScaleSheetLayoutView="40" workbookViewId="0">
      <pane xSplit="7" ySplit="2" topLeftCell="H3" activePane="bottomRight" state="frozen"/>
      <selection pane="topRight" activeCell="H1" sqref="H1"/>
      <selection pane="bottomLeft" activeCell="A3" sqref="A3"/>
      <selection pane="bottomRight" activeCell="BE18" sqref="BE18"/>
    </sheetView>
  </sheetViews>
  <sheetFormatPr defaultRowHeight="15" outlineLevelCol="1"/>
  <cols>
    <col min="1" max="1" width="4" style="1" bestFit="1" customWidth="1"/>
    <col min="2" max="2" width="6.5703125" style="14" customWidth="1"/>
    <col min="3" max="3" width="4.42578125" style="1" customWidth="1"/>
    <col min="4" max="4" width="4" style="1" customWidth="1"/>
    <col min="5" max="5" width="33.28515625" style="18" customWidth="1"/>
    <col min="6" max="6" width="19.28515625" style="1" customWidth="1"/>
    <col min="7" max="7" width="19.28515625" style="88" hidden="1" customWidth="1" outlineLevel="1"/>
    <col min="8" max="8" width="16.85546875" style="20" customWidth="1" collapsed="1"/>
    <col min="9" max="9" width="16.85546875" style="20" customWidth="1"/>
    <col min="10" max="10" width="16.85546875" style="6" customWidth="1"/>
    <col min="11" max="11" width="18.5703125" style="2" customWidth="1"/>
    <col min="12" max="12" width="17.5703125" style="2" customWidth="1"/>
    <col min="13" max="13" width="17" style="2" customWidth="1"/>
    <col min="14" max="14" width="14.85546875" style="2" customWidth="1"/>
    <col min="15" max="15" width="16.42578125" style="2" customWidth="1"/>
    <col min="16" max="16" width="17.28515625" style="2" customWidth="1"/>
    <col min="17" max="17" width="21.85546875" style="2" customWidth="1"/>
    <col min="18" max="18" width="15.42578125" style="2" customWidth="1"/>
    <col min="19" max="19" width="16" style="2" customWidth="1"/>
    <col min="20" max="20" width="17.85546875" style="2" customWidth="1"/>
    <col min="21" max="21" width="17.7109375" style="2" customWidth="1"/>
    <col min="22" max="22" width="18.7109375" style="2" customWidth="1"/>
    <col min="23" max="23" width="11.42578125" style="45" customWidth="1"/>
    <col min="24" max="25" width="19.140625" style="2" hidden="1" customWidth="1" collapsed="1"/>
    <col min="26" max="26" width="12.5703125" style="3" hidden="1" customWidth="1"/>
    <col min="27" max="27" width="19.42578125" style="3" hidden="1" customWidth="1"/>
    <col min="28" max="28" width="18.28515625" style="3" hidden="1" customWidth="1"/>
    <col min="29" max="29" width="16.140625" style="1" hidden="1" customWidth="1"/>
    <col min="30" max="43" width="0" style="1" hidden="1" customWidth="1"/>
    <col min="44" max="16384" width="9.140625" style="1"/>
  </cols>
  <sheetData>
    <row r="1" spans="1:29" s="4" customFormat="1">
      <c r="B1" s="21"/>
      <c r="C1" s="121">
        <v>-1</v>
      </c>
      <c r="D1" s="121"/>
      <c r="E1" s="121"/>
      <c r="F1" s="21">
        <v>-2</v>
      </c>
      <c r="G1" s="77"/>
      <c r="H1" s="23">
        <v>-3</v>
      </c>
      <c r="I1" s="23">
        <v>-4</v>
      </c>
      <c r="J1" s="22">
        <v>-5</v>
      </c>
      <c r="K1" s="21">
        <v>-6</v>
      </c>
      <c r="L1" s="21">
        <v>-7</v>
      </c>
      <c r="M1" s="21">
        <v>-8</v>
      </c>
      <c r="N1" s="21">
        <v>-9</v>
      </c>
      <c r="O1" s="21">
        <v>-10</v>
      </c>
      <c r="P1" s="21">
        <v>-11</v>
      </c>
      <c r="Q1" s="21">
        <v>-12</v>
      </c>
      <c r="R1" s="21">
        <v>-13</v>
      </c>
      <c r="S1" s="21">
        <v>-14</v>
      </c>
      <c r="T1" s="21">
        <v>-15</v>
      </c>
      <c r="U1" s="4">
        <v>-16</v>
      </c>
      <c r="V1" s="21">
        <v>-17</v>
      </c>
      <c r="W1" s="55"/>
      <c r="X1" s="122" t="s">
        <v>38</v>
      </c>
      <c r="Y1" s="122"/>
      <c r="Z1" s="5"/>
      <c r="AA1" s="5"/>
      <c r="AB1" s="5"/>
    </row>
    <row r="2" spans="1:29" s="6" customFormat="1" ht="69" customHeight="1">
      <c r="B2" s="29"/>
      <c r="C2" s="123" t="s">
        <v>0</v>
      </c>
      <c r="D2" s="123"/>
      <c r="E2" s="123"/>
      <c r="F2" s="46" t="s">
        <v>70</v>
      </c>
      <c r="G2" s="78"/>
      <c r="H2" s="47" t="s">
        <v>1</v>
      </c>
      <c r="I2" s="47" t="s">
        <v>2</v>
      </c>
      <c r="J2" s="46" t="s">
        <v>33</v>
      </c>
      <c r="K2" s="48" t="s">
        <v>3</v>
      </c>
      <c r="L2" s="48" t="s">
        <v>4</v>
      </c>
      <c r="M2" s="48" t="s">
        <v>5</v>
      </c>
      <c r="N2" s="48" t="s">
        <v>61</v>
      </c>
      <c r="O2" s="48" t="s">
        <v>42</v>
      </c>
      <c r="P2" s="48" t="s">
        <v>6</v>
      </c>
      <c r="Q2" s="48" t="s">
        <v>35</v>
      </c>
      <c r="R2" s="48" t="s">
        <v>71</v>
      </c>
      <c r="S2" s="48" t="s">
        <v>7</v>
      </c>
      <c r="T2" s="48" t="s">
        <v>8</v>
      </c>
      <c r="U2" s="46" t="s">
        <v>80</v>
      </c>
      <c r="V2" s="48" t="s">
        <v>9</v>
      </c>
      <c r="W2" s="60"/>
      <c r="X2" s="56" t="s">
        <v>36</v>
      </c>
      <c r="Y2" s="31" t="s">
        <v>37</v>
      </c>
      <c r="Z2" s="42"/>
      <c r="AA2" s="35"/>
      <c r="AB2" s="35"/>
    </row>
    <row r="3" spans="1:29" ht="31.5" customHeight="1">
      <c r="A3" s="1">
        <v>1</v>
      </c>
      <c r="C3" s="120" t="s">
        <v>10</v>
      </c>
      <c r="D3" s="120"/>
      <c r="E3" s="120"/>
      <c r="F3" s="49">
        <v>632126.31000000006</v>
      </c>
      <c r="G3" s="79" t="str">
        <f>"cap $611,294 + DSH Add-on $20,832.31"</f>
        <v>cap $611,294 + DSH Add-on $20,832.31</v>
      </c>
      <c r="H3" s="26" t="s">
        <v>54</v>
      </c>
      <c r="I3" s="26" t="s">
        <v>54</v>
      </c>
      <c r="J3" s="27" t="s">
        <v>28</v>
      </c>
      <c r="K3" s="49">
        <v>1524341.53</v>
      </c>
      <c r="L3" s="49">
        <v>0</v>
      </c>
      <c r="M3" s="49">
        <v>0</v>
      </c>
      <c r="N3" s="49">
        <v>0</v>
      </c>
      <c r="O3" s="49">
        <v>1524341.53</v>
      </c>
      <c r="P3" s="49">
        <v>1763150.6459599971</v>
      </c>
      <c r="Q3" s="49">
        <v>238809.11595999706</v>
      </c>
      <c r="R3" s="49">
        <v>44930.84</v>
      </c>
      <c r="S3" s="49">
        <v>534747.61738289415</v>
      </c>
      <c r="T3" s="49">
        <v>489816.77738289419</v>
      </c>
      <c r="U3" s="49">
        <v>728625.89334289124</v>
      </c>
      <c r="V3" s="49">
        <v>632128.31000000006</v>
      </c>
      <c r="W3" s="61"/>
      <c r="X3" s="57">
        <f>V3-Y3</f>
        <v>632128.31000000006</v>
      </c>
      <c r="Y3" s="7"/>
      <c r="Z3" s="8">
        <f t="shared" ref="Z3:Z36" si="0">IF(U3-V3&gt;0,,1)</f>
        <v>0</v>
      </c>
      <c r="AA3" s="36"/>
      <c r="AB3" s="36">
        <f>IF(AA3=0,U3-V3,0)</f>
        <v>96497.583342891186</v>
      </c>
      <c r="AC3" s="1" t="s">
        <v>39</v>
      </c>
    </row>
    <row r="4" spans="1:29" ht="30.75">
      <c r="A4" s="1">
        <v>2</v>
      </c>
      <c r="C4" s="114" t="s">
        <v>11</v>
      </c>
      <c r="D4" s="114"/>
      <c r="E4" s="114"/>
      <c r="F4" s="50">
        <v>23682.05484987075</v>
      </c>
      <c r="G4" s="80" t="str">
        <f>"amt paid "&amp;V4</f>
        <v>amt paid 23682.06</v>
      </c>
      <c r="H4" s="32">
        <v>0.16329081192897776</v>
      </c>
      <c r="I4" s="32">
        <v>0.11850547199679393</v>
      </c>
      <c r="J4" s="42" t="s">
        <v>30</v>
      </c>
      <c r="K4" s="50">
        <v>8024016.6100000003</v>
      </c>
      <c r="L4" s="50">
        <v>426563.8</v>
      </c>
      <c r="M4" s="50">
        <v>0</v>
      </c>
      <c r="N4" s="50">
        <v>-10280.287164738043</v>
      </c>
      <c r="O4" s="50">
        <v>8440300.1228352617</v>
      </c>
      <c r="P4" s="50">
        <v>6782447.727293456</v>
      </c>
      <c r="Q4" s="50">
        <v>-1657852.3955418058</v>
      </c>
      <c r="R4" s="50">
        <v>1259923.83</v>
      </c>
      <c r="S4" s="50">
        <v>2462943.1837937916</v>
      </c>
      <c r="T4" s="50">
        <v>1203019.3537937915</v>
      </c>
      <c r="U4" s="50">
        <v>-454833.04174801428</v>
      </c>
      <c r="V4" s="50">
        <v>23682.059999999998</v>
      </c>
      <c r="W4" s="59"/>
      <c r="X4" s="57">
        <f t="shared" ref="X4:X35" si="1">V4-Y4</f>
        <v>23682.059999999998</v>
      </c>
      <c r="Y4" s="33"/>
      <c r="Z4" s="34">
        <f t="shared" si="0"/>
        <v>1</v>
      </c>
      <c r="AA4" s="36">
        <f>IF(Z4=1,(IF(U4&lt;0,V4,V4-U4)),0)</f>
        <v>23682.059999999998</v>
      </c>
      <c r="AB4" s="36">
        <f t="shared" ref="AB4:AB35" si="2">IF(AA4=0,U4-V4,0)</f>
        <v>0</v>
      </c>
    </row>
    <row r="5" spans="1:29" ht="30.75">
      <c r="A5" s="1">
        <v>3</v>
      </c>
      <c r="C5" s="120" t="s">
        <v>43</v>
      </c>
      <c r="D5" s="120"/>
      <c r="E5" s="120"/>
      <c r="F5" s="51">
        <v>23227.686862745097</v>
      </c>
      <c r="G5" s="81" t="str">
        <f t="shared" ref="G5:G32" si="3">"amt paid "&amp;V5</f>
        <v>amt paid 23227.69</v>
      </c>
      <c r="H5" s="9">
        <v>0.15711252653927812</v>
      </c>
      <c r="I5" s="9">
        <v>0.12191338191638479</v>
      </c>
      <c r="J5" s="27" t="s">
        <v>30</v>
      </c>
      <c r="K5" s="51">
        <v>2845078.85</v>
      </c>
      <c r="L5" s="51">
        <v>0</v>
      </c>
      <c r="M5" s="51">
        <v>0</v>
      </c>
      <c r="N5" s="51">
        <v>-3335.9304321050136</v>
      </c>
      <c r="O5" s="51">
        <v>2841742.9195678951</v>
      </c>
      <c r="P5" s="51">
        <v>1973725.1946245129</v>
      </c>
      <c r="Q5" s="51">
        <v>-868017.72494338208</v>
      </c>
      <c r="R5" s="51">
        <v>497684.12</v>
      </c>
      <c r="S5" s="51">
        <v>1481115.5776930365</v>
      </c>
      <c r="T5" s="51">
        <v>983431.45769303653</v>
      </c>
      <c r="U5" s="51">
        <v>115413.73274965445</v>
      </c>
      <c r="V5" s="51">
        <v>23227.690000000002</v>
      </c>
      <c r="W5" s="59"/>
      <c r="X5" s="57">
        <f t="shared" si="1"/>
        <v>23227.690000000002</v>
      </c>
      <c r="Y5" s="7"/>
      <c r="Z5" s="8">
        <f t="shared" si="0"/>
        <v>0</v>
      </c>
      <c r="AA5" s="36"/>
      <c r="AB5" s="36">
        <f t="shared" si="2"/>
        <v>92186.042749654443</v>
      </c>
    </row>
    <row r="6" spans="1:29" ht="30.75">
      <c r="A6" s="1">
        <v>4</v>
      </c>
      <c r="C6" s="114" t="s">
        <v>12</v>
      </c>
      <c r="D6" s="114"/>
      <c r="E6" s="114"/>
      <c r="F6" s="50">
        <v>1601.8968316831683</v>
      </c>
      <c r="G6" s="82" t="str">
        <f t="shared" si="3"/>
        <v>amt paid 1601.89</v>
      </c>
      <c r="H6" s="30" t="s">
        <v>54</v>
      </c>
      <c r="I6" s="30" t="s">
        <v>54</v>
      </c>
      <c r="J6" s="42" t="s">
        <v>28</v>
      </c>
      <c r="K6" s="50">
        <v>583678.4</v>
      </c>
      <c r="L6" s="50">
        <v>0</v>
      </c>
      <c r="M6" s="50">
        <v>0</v>
      </c>
      <c r="N6" s="50">
        <v>-5571.9122387182115</v>
      </c>
      <c r="O6" s="50">
        <v>578106.48776128178</v>
      </c>
      <c r="P6" s="50">
        <v>539602.54091337207</v>
      </c>
      <c r="Q6" s="50">
        <v>-38503.946847909712</v>
      </c>
      <c r="R6" s="50">
        <v>254336.23</v>
      </c>
      <c r="S6" s="50">
        <v>473386.52841942559</v>
      </c>
      <c r="T6" s="50">
        <v>219050.29841942558</v>
      </c>
      <c r="U6" s="50">
        <v>180546.35157151587</v>
      </c>
      <c r="V6" s="50">
        <v>1601.89</v>
      </c>
      <c r="W6" s="59"/>
      <c r="X6" s="57">
        <f t="shared" si="1"/>
        <v>1601.89</v>
      </c>
      <c r="Y6" s="33"/>
      <c r="Z6" s="34">
        <f t="shared" si="0"/>
        <v>0</v>
      </c>
      <c r="AA6" s="36"/>
      <c r="AB6" s="36">
        <f t="shared" si="2"/>
        <v>178944.46157151586</v>
      </c>
    </row>
    <row r="7" spans="1:29" ht="30.75">
      <c r="A7" s="1">
        <v>5</v>
      </c>
      <c r="C7" s="120" t="s">
        <v>13</v>
      </c>
      <c r="D7" s="120"/>
      <c r="E7" s="120"/>
      <c r="F7" s="52">
        <v>618739.77</v>
      </c>
      <c r="G7" s="79" t="str">
        <f>"cap $611,294 + DSH Add-on $7,445.77"</f>
        <v>cap $611,294 + DSH Add-on $7,445.77</v>
      </c>
      <c r="H7" s="26" t="s">
        <v>54</v>
      </c>
      <c r="I7" s="26" t="s">
        <v>54</v>
      </c>
      <c r="J7" s="27" t="s">
        <v>28</v>
      </c>
      <c r="K7" s="51">
        <v>863378</v>
      </c>
      <c r="L7" s="51">
        <v>2910</v>
      </c>
      <c r="M7" s="51">
        <v>0</v>
      </c>
      <c r="N7" s="51">
        <v>-99.899023453530546</v>
      </c>
      <c r="O7" s="51">
        <v>866188.10097654641</v>
      </c>
      <c r="P7" s="51">
        <v>1249252.7708155001</v>
      </c>
      <c r="Q7" s="51">
        <v>383064.66983895376</v>
      </c>
      <c r="R7" s="51">
        <v>0</v>
      </c>
      <c r="S7" s="51">
        <v>343772.58059999999</v>
      </c>
      <c r="T7" s="51">
        <v>343772.58059999999</v>
      </c>
      <c r="U7" s="51">
        <v>726837.25043895375</v>
      </c>
      <c r="V7" s="51">
        <v>618742</v>
      </c>
      <c r="W7" s="59"/>
      <c r="X7" s="57">
        <f t="shared" si="1"/>
        <v>618742</v>
      </c>
      <c r="Y7" s="7"/>
      <c r="Z7" s="8">
        <f t="shared" si="0"/>
        <v>0</v>
      </c>
      <c r="AA7" s="36"/>
      <c r="AB7" s="36">
        <f t="shared" si="2"/>
        <v>108095.25043895375</v>
      </c>
      <c r="AC7" s="1" t="s">
        <v>39</v>
      </c>
    </row>
    <row r="8" spans="1:29" ht="30.75">
      <c r="A8" s="1">
        <v>6</v>
      </c>
      <c r="C8" s="114" t="s">
        <v>50</v>
      </c>
      <c r="D8" s="114"/>
      <c r="E8" s="114"/>
      <c r="F8" s="50">
        <v>26254.899215686273</v>
      </c>
      <c r="G8" s="82" t="str">
        <f t="shared" si="3"/>
        <v>amt paid 26254.9</v>
      </c>
      <c r="H8" s="30" t="s">
        <v>54</v>
      </c>
      <c r="I8" s="30" t="s">
        <v>54</v>
      </c>
      <c r="J8" s="42" t="s">
        <v>28</v>
      </c>
      <c r="K8" s="50">
        <v>2984743.1</v>
      </c>
      <c r="L8" s="50">
        <v>271720</v>
      </c>
      <c r="M8" s="50">
        <v>0</v>
      </c>
      <c r="N8" s="50">
        <v>457.9075836886667</v>
      </c>
      <c r="O8" s="50">
        <v>3256921.0075836889</v>
      </c>
      <c r="P8" s="50">
        <v>2846134.0176812606</v>
      </c>
      <c r="Q8" s="50">
        <v>-410786.98990242835</v>
      </c>
      <c r="R8" s="50">
        <v>176711</v>
      </c>
      <c r="S8" s="50">
        <v>685947.12116005202</v>
      </c>
      <c r="T8" s="50">
        <v>509236.12116005202</v>
      </c>
      <c r="U8" s="50">
        <v>98449.131257623667</v>
      </c>
      <c r="V8" s="50">
        <v>26254.899999999998</v>
      </c>
      <c r="W8" s="59"/>
      <c r="X8" s="57">
        <f t="shared" si="1"/>
        <v>26254.899999999998</v>
      </c>
      <c r="Y8" s="33"/>
      <c r="Z8" s="34">
        <f t="shared" si="0"/>
        <v>0</v>
      </c>
      <c r="AA8" s="36"/>
      <c r="AB8" s="36">
        <f t="shared" si="2"/>
        <v>72194.231257623673</v>
      </c>
    </row>
    <row r="9" spans="1:29" ht="30.75">
      <c r="A9" s="1">
        <v>7</v>
      </c>
      <c r="C9" s="120" t="s">
        <v>53</v>
      </c>
      <c r="D9" s="120"/>
      <c r="E9" s="120"/>
      <c r="F9" s="53">
        <v>60139.85</v>
      </c>
      <c r="G9" s="83" t="str">
        <f t="shared" si="3"/>
        <v>amt paid 60139.85</v>
      </c>
      <c r="H9" s="26" t="s">
        <v>54</v>
      </c>
      <c r="I9" s="26" t="s">
        <v>54</v>
      </c>
      <c r="J9" s="27" t="s">
        <v>28</v>
      </c>
      <c r="K9" s="51">
        <v>6754030.8800000008</v>
      </c>
      <c r="L9" s="51">
        <v>0</v>
      </c>
      <c r="M9" s="51">
        <v>0</v>
      </c>
      <c r="N9" s="51">
        <v>-12290.092139526882</v>
      </c>
      <c r="O9" s="51">
        <v>6741740.7878604736</v>
      </c>
      <c r="P9" s="51">
        <v>4476867.9926997889</v>
      </c>
      <c r="Q9" s="51">
        <v>-2264872.7951606847</v>
      </c>
      <c r="R9" s="51">
        <v>385401.8</v>
      </c>
      <c r="S9" s="51">
        <v>720132.3164384577</v>
      </c>
      <c r="T9" s="51">
        <v>334730.51643845771</v>
      </c>
      <c r="U9" s="53">
        <v>-1930142.2787222271</v>
      </c>
      <c r="V9" s="53">
        <v>60139.85</v>
      </c>
      <c r="W9" s="62"/>
      <c r="X9" s="57">
        <f t="shared" si="1"/>
        <v>60139.85</v>
      </c>
      <c r="Y9" s="10"/>
      <c r="Z9" s="8">
        <f t="shared" si="0"/>
        <v>1</v>
      </c>
      <c r="AA9" s="36">
        <f t="shared" ref="AA9:AA35" si="4">IF(Z9=1,(IF(U9&lt;0,V9,V9-U9)),0)</f>
        <v>60139.85</v>
      </c>
      <c r="AB9" s="36">
        <f t="shared" si="2"/>
        <v>0</v>
      </c>
    </row>
    <row r="10" spans="1:29" ht="30.75">
      <c r="A10" s="1">
        <v>8</v>
      </c>
      <c r="C10" s="114" t="s">
        <v>34</v>
      </c>
      <c r="D10" s="114"/>
      <c r="E10" s="114"/>
      <c r="F10" s="50">
        <v>22848.593137254898</v>
      </c>
      <c r="G10" s="82" t="str">
        <f t="shared" si="3"/>
        <v>amt paid 22848.59</v>
      </c>
      <c r="H10" s="30" t="s">
        <v>54</v>
      </c>
      <c r="I10" s="30" t="s">
        <v>54</v>
      </c>
      <c r="J10" s="42" t="s">
        <v>28</v>
      </c>
      <c r="K10" s="50">
        <v>2036954.3299999998</v>
      </c>
      <c r="L10" s="50">
        <v>0</v>
      </c>
      <c r="M10" s="50">
        <v>0</v>
      </c>
      <c r="N10" s="50">
        <v>0</v>
      </c>
      <c r="O10" s="50">
        <v>2036954.3299999998</v>
      </c>
      <c r="P10" s="50">
        <v>1835486.9267366205</v>
      </c>
      <c r="Q10" s="50">
        <v>-201467.40326337935</v>
      </c>
      <c r="R10" s="50">
        <v>191388.06</v>
      </c>
      <c r="S10" s="50">
        <v>725118.44169036811</v>
      </c>
      <c r="T10" s="50">
        <v>533730.38169036806</v>
      </c>
      <c r="U10" s="50">
        <v>332262.9784269887</v>
      </c>
      <c r="V10" s="50">
        <v>22848.59</v>
      </c>
      <c r="W10" s="59"/>
      <c r="X10" s="57">
        <f t="shared" si="1"/>
        <v>22848.59</v>
      </c>
      <c r="Y10" s="33"/>
      <c r="Z10" s="34">
        <f t="shared" si="0"/>
        <v>0</v>
      </c>
      <c r="AA10" s="36"/>
      <c r="AB10" s="36">
        <f t="shared" si="2"/>
        <v>309414.38842698868</v>
      </c>
    </row>
    <row r="11" spans="1:29" ht="30.75">
      <c r="A11" s="1">
        <v>9</v>
      </c>
      <c r="C11" s="113" t="s">
        <v>44</v>
      </c>
      <c r="D11" s="113"/>
      <c r="E11" s="113"/>
      <c r="F11" s="54">
        <v>10936.988446601939</v>
      </c>
      <c r="G11" s="84" t="str">
        <f t="shared" si="3"/>
        <v>amt paid 10936.99</v>
      </c>
      <c r="H11" s="26" t="s">
        <v>54</v>
      </c>
      <c r="I11" s="26" t="s">
        <v>54</v>
      </c>
      <c r="J11" s="28" t="s">
        <v>28</v>
      </c>
      <c r="K11" s="54">
        <v>980766.54</v>
      </c>
      <c r="L11" s="54">
        <v>0</v>
      </c>
      <c r="M11" s="54">
        <v>0</v>
      </c>
      <c r="N11" s="54">
        <v>0</v>
      </c>
      <c r="O11" s="54">
        <v>980766.54</v>
      </c>
      <c r="P11" s="54">
        <v>876180.47198281065</v>
      </c>
      <c r="Q11" s="54">
        <v>-104586.06801718939</v>
      </c>
      <c r="R11" s="54">
        <v>102895.28</v>
      </c>
      <c r="S11" s="54">
        <v>224182.83048765996</v>
      </c>
      <c r="T11" s="54">
        <v>121287.55048765996</v>
      </c>
      <c r="U11" s="54">
        <v>16701.482470470568</v>
      </c>
      <c r="V11" s="54">
        <v>10936.99</v>
      </c>
      <c r="W11" s="59"/>
      <c r="X11" s="57">
        <f t="shared" si="1"/>
        <v>10936.99</v>
      </c>
      <c r="Y11" s="11"/>
      <c r="Z11" s="8">
        <f t="shared" si="0"/>
        <v>0</v>
      </c>
      <c r="AA11" s="36"/>
      <c r="AB11" s="36">
        <f t="shared" si="2"/>
        <v>5764.4924704705682</v>
      </c>
    </row>
    <row r="12" spans="1:29" ht="30.75">
      <c r="A12" s="1">
        <v>10</v>
      </c>
      <c r="C12" s="114" t="s">
        <v>14</v>
      </c>
      <c r="D12" s="114"/>
      <c r="E12" s="114"/>
      <c r="F12" s="50">
        <v>67035.912380194874</v>
      </c>
      <c r="G12" s="82" t="str">
        <f t="shared" si="3"/>
        <v>amt paid 67035.91</v>
      </c>
      <c r="H12" s="32">
        <v>0.17789546642023138</v>
      </c>
      <c r="I12" s="32">
        <v>0.13437671627410272</v>
      </c>
      <c r="J12" s="42" t="s">
        <v>30</v>
      </c>
      <c r="K12" s="50">
        <v>21168866.419999998</v>
      </c>
      <c r="L12" s="50">
        <v>1578469</v>
      </c>
      <c r="M12" s="50">
        <v>0</v>
      </c>
      <c r="N12" s="50">
        <v>4470.6964256860074</v>
      </c>
      <c r="O12" s="50">
        <v>22751806.116425686</v>
      </c>
      <c r="P12" s="50">
        <v>22379908.558552001</v>
      </c>
      <c r="Q12" s="50">
        <v>-371897.55787368352</v>
      </c>
      <c r="R12" s="50">
        <v>3178090.77</v>
      </c>
      <c r="S12" s="50">
        <v>10258524.275568783</v>
      </c>
      <c r="T12" s="50">
        <v>7080433.5055687837</v>
      </c>
      <c r="U12" s="50">
        <v>6708535.9476951007</v>
      </c>
      <c r="V12" s="50">
        <v>67035.91</v>
      </c>
      <c r="W12" s="59"/>
      <c r="X12" s="57">
        <f t="shared" si="1"/>
        <v>67035.91</v>
      </c>
      <c r="Y12" s="33"/>
      <c r="Z12" s="34">
        <f t="shared" si="0"/>
        <v>0</v>
      </c>
      <c r="AA12" s="36"/>
      <c r="AB12" s="36">
        <f t="shared" si="2"/>
        <v>6641500.0376951005</v>
      </c>
    </row>
    <row r="13" spans="1:29" ht="30.75">
      <c r="A13" s="1">
        <v>11</v>
      </c>
      <c r="C13" s="113" t="s">
        <v>15</v>
      </c>
      <c r="D13" s="113"/>
      <c r="E13" s="113"/>
      <c r="F13" s="54">
        <v>5946.5120388349515</v>
      </c>
      <c r="G13" s="84" t="str">
        <f t="shared" si="3"/>
        <v>amt paid 5946.51</v>
      </c>
      <c r="H13" s="26" t="s">
        <v>54</v>
      </c>
      <c r="I13" s="26" t="s">
        <v>54</v>
      </c>
      <c r="J13" s="28" t="s">
        <v>28</v>
      </c>
      <c r="K13" s="54">
        <v>507360.11</v>
      </c>
      <c r="L13" s="54">
        <v>0</v>
      </c>
      <c r="M13" s="54">
        <v>0</v>
      </c>
      <c r="N13" s="54">
        <v>0</v>
      </c>
      <c r="O13" s="54">
        <v>507360.11</v>
      </c>
      <c r="P13" s="54">
        <v>489025.69571302744</v>
      </c>
      <c r="Q13" s="54">
        <v>-18334.414286972547</v>
      </c>
      <c r="R13" s="54">
        <v>76260.27</v>
      </c>
      <c r="S13" s="54">
        <v>196418.84288576859</v>
      </c>
      <c r="T13" s="54">
        <v>120158.57288576859</v>
      </c>
      <c r="U13" s="54">
        <v>101824.15859879604</v>
      </c>
      <c r="V13" s="54">
        <v>5946.51</v>
      </c>
      <c r="W13" s="59"/>
      <c r="X13" s="57">
        <f t="shared" si="1"/>
        <v>5946.51</v>
      </c>
      <c r="Y13" s="11"/>
      <c r="Z13" s="8">
        <f t="shared" si="0"/>
        <v>0</v>
      </c>
      <c r="AA13" s="36"/>
      <c r="AB13" s="36">
        <f t="shared" si="2"/>
        <v>95877.648598796048</v>
      </c>
    </row>
    <row r="14" spans="1:29" ht="30.75">
      <c r="A14" s="1">
        <v>12</v>
      </c>
      <c r="C14" s="114" t="s">
        <v>16</v>
      </c>
      <c r="D14" s="114"/>
      <c r="E14" s="114"/>
      <c r="F14" s="50">
        <v>203456.89</v>
      </c>
      <c r="G14" s="90" t="str">
        <f>"cap $611,294 + DSH Add-on $7,056.36"</f>
        <v>cap $611,294 + DSH Add-on $7,056.36</v>
      </c>
      <c r="H14" s="30" t="s">
        <v>54</v>
      </c>
      <c r="I14" s="30" t="s">
        <v>54</v>
      </c>
      <c r="J14" s="42" t="s">
        <v>28</v>
      </c>
      <c r="K14" s="50">
        <v>468051.40000000008</v>
      </c>
      <c r="L14" s="50">
        <v>9321.2099999999991</v>
      </c>
      <c r="M14" s="50">
        <v>0</v>
      </c>
      <c r="N14" s="50">
        <v>-9268.186490914939</v>
      </c>
      <c r="O14" s="50">
        <v>468104.42350908514</v>
      </c>
      <c r="P14" s="50">
        <v>484521.82721572887</v>
      </c>
      <c r="Q14" s="50">
        <v>16417.403706643778</v>
      </c>
      <c r="R14" s="50">
        <v>124094.53</v>
      </c>
      <c r="S14" s="50">
        <v>255273.87956488182</v>
      </c>
      <c r="T14" s="50">
        <v>131179.34956488182</v>
      </c>
      <c r="U14" s="50">
        <v>147596.75327152561</v>
      </c>
      <c r="V14" s="50">
        <v>203456.89</v>
      </c>
      <c r="W14" s="59"/>
      <c r="X14" s="57">
        <f t="shared" si="1"/>
        <v>203456.89</v>
      </c>
      <c r="Y14" s="33"/>
      <c r="Z14" s="34">
        <f t="shared" si="0"/>
        <v>1</v>
      </c>
      <c r="AA14" s="36">
        <f t="shared" si="4"/>
        <v>55860.136728474405</v>
      </c>
      <c r="AB14" s="36">
        <f t="shared" si="2"/>
        <v>0</v>
      </c>
    </row>
    <row r="15" spans="1:29" ht="30.75">
      <c r="A15" s="1">
        <v>13</v>
      </c>
      <c r="C15" s="113" t="s">
        <v>17</v>
      </c>
      <c r="D15" s="113"/>
      <c r="E15" s="113"/>
      <c r="F15" s="52">
        <v>372124.36</v>
      </c>
      <c r="G15" s="90" t="str">
        <f>"cap $611,294 + DSH Add-on $25,486.36"</f>
        <v>cap $611,294 + DSH Add-on $25,486.36</v>
      </c>
      <c r="H15" s="26" t="s">
        <v>54</v>
      </c>
      <c r="I15" s="26" t="s">
        <v>54</v>
      </c>
      <c r="J15" s="28" t="s">
        <v>28</v>
      </c>
      <c r="K15" s="54">
        <v>1328555.43</v>
      </c>
      <c r="L15" s="54">
        <v>0</v>
      </c>
      <c r="M15" s="54">
        <v>0</v>
      </c>
      <c r="N15" s="54">
        <v>0</v>
      </c>
      <c r="O15" s="54">
        <v>1328555.43</v>
      </c>
      <c r="P15" s="54">
        <v>1235651.9937986014</v>
      </c>
      <c r="Q15" s="54">
        <v>-92903.436201398494</v>
      </c>
      <c r="R15" s="54">
        <v>206241.79</v>
      </c>
      <c r="S15" s="54">
        <v>334318.98759812443</v>
      </c>
      <c r="T15" s="54">
        <v>128077.19759812442</v>
      </c>
      <c r="U15" s="54">
        <v>35173.761396725924</v>
      </c>
      <c r="V15" s="54">
        <v>372124.36</v>
      </c>
      <c r="W15" s="59"/>
      <c r="X15" s="57">
        <f t="shared" si="1"/>
        <v>372124.36</v>
      </c>
      <c r="Y15" s="11"/>
      <c r="Z15" s="8">
        <f t="shared" si="0"/>
        <v>1</v>
      </c>
      <c r="AA15" s="36">
        <f t="shared" si="4"/>
        <v>336950.59860327409</v>
      </c>
      <c r="AB15" s="36">
        <f t="shared" si="2"/>
        <v>0</v>
      </c>
    </row>
    <row r="16" spans="1:29" ht="30.75">
      <c r="A16" s="1">
        <v>14</v>
      </c>
      <c r="C16" s="114" t="s">
        <v>46</v>
      </c>
      <c r="D16" s="114"/>
      <c r="E16" s="114"/>
      <c r="F16" s="50">
        <v>17552.834563106797</v>
      </c>
      <c r="G16" s="82" t="str">
        <f t="shared" si="3"/>
        <v>amt paid 17552.84</v>
      </c>
      <c r="H16" s="30" t="s">
        <v>54</v>
      </c>
      <c r="I16" s="30" t="s">
        <v>54</v>
      </c>
      <c r="J16" s="42" t="s">
        <v>28</v>
      </c>
      <c r="K16" s="50">
        <v>1029266.42</v>
      </c>
      <c r="L16" s="50">
        <v>0</v>
      </c>
      <c r="M16" s="50">
        <v>0</v>
      </c>
      <c r="N16" s="50">
        <v>0</v>
      </c>
      <c r="O16" s="50">
        <v>1029266.42</v>
      </c>
      <c r="P16" s="50">
        <v>873541.94143406895</v>
      </c>
      <c r="Q16" s="50">
        <v>-155724.47856593109</v>
      </c>
      <c r="R16" s="50">
        <v>380261.01</v>
      </c>
      <c r="S16" s="50">
        <v>679891.78956558777</v>
      </c>
      <c r="T16" s="50">
        <v>299630.77956558776</v>
      </c>
      <c r="U16" s="50">
        <v>143906.30099965667</v>
      </c>
      <c r="V16" s="50">
        <v>17552.84</v>
      </c>
      <c r="W16" s="59"/>
      <c r="X16" s="57">
        <f t="shared" si="1"/>
        <v>17552.84</v>
      </c>
      <c r="Y16" s="33"/>
      <c r="Z16" s="34">
        <f t="shared" si="0"/>
        <v>0</v>
      </c>
      <c r="AA16" s="36"/>
      <c r="AB16" s="36">
        <f t="shared" si="2"/>
        <v>126353.46099965667</v>
      </c>
    </row>
    <row r="17" spans="1:29" ht="30.75">
      <c r="A17" s="1">
        <v>15</v>
      </c>
      <c r="C17" s="113" t="s">
        <v>31</v>
      </c>
      <c r="D17" s="113"/>
      <c r="E17" s="113"/>
      <c r="F17" s="54">
        <v>172106.73003754384</v>
      </c>
      <c r="G17" s="84" t="str">
        <f t="shared" si="3"/>
        <v>amt paid 172106.73</v>
      </c>
      <c r="H17" s="12">
        <v>0.16272310825933292</v>
      </c>
      <c r="I17" s="12">
        <v>0.13770800670953978</v>
      </c>
      <c r="J17" s="28" t="s">
        <v>30</v>
      </c>
      <c r="K17" s="54">
        <v>43469988.439999998</v>
      </c>
      <c r="L17" s="54">
        <v>2970725.33</v>
      </c>
      <c r="M17" s="54">
        <v>1514091</v>
      </c>
      <c r="N17" s="54">
        <v>103162.45081547326</v>
      </c>
      <c r="O17" s="54">
        <v>48057967.220815472</v>
      </c>
      <c r="P17" s="54">
        <v>46379135.73871433</v>
      </c>
      <c r="Q17" s="54">
        <v>-1678831.4821011461</v>
      </c>
      <c r="R17" s="54">
        <v>3908112.21</v>
      </c>
      <c r="S17" s="54">
        <v>25321093.773178473</v>
      </c>
      <c r="T17" s="54">
        <v>21412981.563178472</v>
      </c>
      <c r="U17" s="54">
        <v>19734150.081077326</v>
      </c>
      <c r="V17" s="54">
        <v>172106.72999999998</v>
      </c>
      <c r="W17" s="59"/>
      <c r="X17" s="57">
        <f t="shared" si="1"/>
        <v>172106.72999999998</v>
      </c>
      <c r="Y17" s="11"/>
      <c r="Z17" s="8">
        <f t="shared" si="0"/>
        <v>0</v>
      </c>
      <c r="AA17" s="36"/>
      <c r="AB17" s="36">
        <f t="shared" si="2"/>
        <v>19562043.351077326</v>
      </c>
    </row>
    <row r="18" spans="1:29" ht="30.75">
      <c r="A18" s="1">
        <v>16</v>
      </c>
      <c r="C18" s="114" t="s">
        <v>18</v>
      </c>
      <c r="D18" s="114"/>
      <c r="E18" s="114"/>
      <c r="F18" s="50">
        <v>614352.62</v>
      </c>
      <c r="G18" s="79" t="str">
        <f>"cap $611,294 + DSH Add-on $3,058.62"</f>
        <v>cap $611,294 + DSH Add-on $3,058.62</v>
      </c>
      <c r="H18" s="30" t="s">
        <v>54</v>
      </c>
      <c r="I18" s="30" t="s">
        <v>54</v>
      </c>
      <c r="J18" s="42" t="s">
        <v>28</v>
      </c>
      <c r="K18" s="50">
        <v>639066.31999999995</v>
      </c>
      <c r="L18" s="50">
        <v>0</v>
      </c>
      <c r="M18" s="50">
        <v>0</v>
      </c>
      <c r="N18" s="50">
        <v>0</v>
      </c>
      <c r="O18" s="50">
        <v>639066.31999999995</v>
      </c>
      <c r="P18" s="50">
        <v>800135.95638765348</v>
      </c>
      <c r="Q18" s="50">
        <v>161069.6363876535</v>
      </c>
      <c r="R18" s="50">
        <v>82012.56</v>
      </c>
      <c r="S18" s="50">
        <v>309477.0957524245</v>
      </c>
      <c r="T18" s="50">
        <v>227464.5357524245</v>
      </c>
      <c r="U18" s="50">
        <v>388534.17214007804</v>
      </c>
      <c r="V18" s="50">
        <v>614354.62</v>
      </c>
      <c r="W18" s="59"/>
      <c r="X18" s="57">
        <f t="shared" si="1"/>
        <v>614354.62</v>
      </c>
      <c r="Y18" s="33"/>
      <c r="Z18" s="34">
        <f t="shared" si="0"/>
        <v>1</v>
      </c>
      <c r="AA18" s="36">
        <f t="shared" si="4"/>
        <v>225820.44785992196</v>
      </c>
      <c r="AB18" s="36">
        <f t="shared" si="2"/>
        <v>0</v>
      </c>
      <c r="AC18" s="1" t="s">
        <v>39</v>
      </c>
    </row>
    <row r="19" spans="1:29" ht="30.75">
      <c r="A19" s="1">
        <v>17</v>
      </c>
      <c r="C19" s="120" t="s">
        <v>19</v>
      </c>
      <c r="D19" s="120"/>
      <c r="E19" s="120"/>
      <c r="F19" s="51">
        <v>31995.079980115333</v>
      </c>
      <c r="G19" s="81" t="str">
        <f t="shared" si="3"/>
        <v>amt paid 31995.08</v>
      </c>
      <c r="H19" s="9">
        <v>0.24329879249807312</v>
      </c>
      <c r="I19" s="9">
        <v>0.15152184520686224</v>
      </c>
      <c r="J19" s="27" t="s">
        <v>30</v>
      </c>
      <c r="K19" s="51">
        <v>10609472.99</v>
      </c>
      <c r="L19" s="51">
        <v>422181.75</v>
      </c>
      <c r="M19" s="51">
        <v>0</v>
      </c>
      <c r="N19" s="51">
        <v>11365.90654179095</v>
      </c>
      <c r="O19" s="51">
        <v>11043020.646541791</v>
      </c>
      <c r="P19" s="51">
        <v>10513077.052402012</v>
      </c>
      <c r="Q19" s="51">
        <v>-529943.5941397791</v>
      </c>
      <c r="R19" s="51">
        <v>1282890.57</v>
      </c>
      <c r="S19" s="51">
        <v>3207328.6975833955</v>
      </c>
      <c r="T19" s="51">
        <v>1924438.1275833955</v>
      </c>
      <c r="U19" s="51">
        <v>1394494.5334436162</v>
      </c>
      <c r="V19" s="51">
        <v>31995.08</v>
      </c>
      <c r="W19" s="59"/>
      <c r="X19" s="57">
        <f t="shared" si="1"/>
        <v>31995.08</v>
      </c>
      <c r="Y19" s="7"/>
      <c r="Z19" s="8">
        <f t="shared" si="0"/>
        <v>0</v>
      </c>
      <c r="AA19" s="36"/>
      <c r="AB19" s="36">
        <f t="shared" si="2"/>
        <v>1362499.4534436162</v>
      </c>
    </row>
    <row r="20" spans="1:29" ht="30.75">
      <c r="A20" s="1">
        <v>18</v>
      </c>
      <c r="C20" s="114" t="s">
        <v>82</v>
      </c>
      <c r="D20" s="114"/>
      <c r="E20" s="114"/>
      <c r="F20" s="50">
        <v>103902.68141407811</v>
      </c>
      <c r="G20" s="82" t="str">
        <f t="shared" si="3"/>
        <v>amt paid 103902.68</v>
      </c>
      <c r="H20" s="32">
        <v>0.23879629869624944</v>
      </c>
      <c r="I20" s="32">
        <v>0.18188836675236447</v>
      </c>
      <c r="J20" s="42" t="s">
        <v>30</v>
      </c>
      <c r="K20" s="50">
        <v>32581404.420000002</v>
      </c>
      <c r="L20" s="50">
        <v>4428982.1399999997</v>
      </c>
      <c r="M20" s="50">
        <v>704433</v>
      </c>
      <c r="N20" s="50">
        <v>27124.220414418607</v>
      </c>
      <c r="O20" s="50">
        <v>37741943.78041441</v>
      </c>
      <c r="P20" s="50">
        <v>32295366.664038595</v>
      </c>
      <c r="Q20" s="50">
        <v>-5446577.116375817</v>
      </c>
      <c r="R20" s="50">
        <v>1643546.87</v>
      </c>
      <c r="S20" s="50">
        <v>12445946.843485842</v>
      </c>
      <c r="T20" s="50">
        <v>10802399.973485842</v>
      </c>
      <c r="U20" s="50">
        <v>5355822.8571100254</v>
      </c>
      <c r="V20" s="50">
        <v>103902.68000000001</v>
      </c>
      <c r="W20" s="59"/>
      <c r="X20" s="57">
        <f t="shared" si="1"/>
        <v>103902.68000000001</v>
      </c>
      <c r="Y20" s="33"/>
      <c r="Z20" s="34">
        <f t="shared" si="0"/>
        <v>0</v>
      </c>
      <c r="AA20" s="36"/>
      <c r="AB20" s="36">
        <f t="shared" si="2"/>
        <v>5251920.1771100257</v>
      </c>
    </row>
    <row r="21" spans="1:29" ht="30.75">
      <c r="A21" s="1">
        <v>19</v>
      </c>
      <c r="B21" s="64">
        <v>17</v>
      </c>
      <c r="C21" s="120" t="s">
        <v>20</v>
      </c>
      <c r="D21" s="120"/>
      <c r="E21" s="120"/>
      <c r="F21" s="52">
        <v>611294</v>
      </c>
      <c r="G21" s="79" t="str">
        <f>"cap $611,294 + DSH Add-on $0"</f>
        <v>cap $611,294 + DSH Add-on $0</v>
      </c>
      <c r="H21" s="26" t="s">
        <v>54</v>
      </c>
      <c r="I21" s="26" t="s">
        <v>54</v>
      </c>
      <c r="J21" s="27" t="s">
        <v>28</v>
      </c>
      <c r="K21" s="51">
        <v>43317.440000000002</v>
      </c>
      <c r="L21" s="51">
        <v>0</v>
      </c>
      <c r="M21" s="51">
        <v>0</v>
      </c>
      <c r="N21" s="51">
        <v>0</v>
      </c>
      <c r="O21" s="51">
        <v>43317.440000000002</v>
      </c>
      <c r="P21" s="51">
        <v>71296.644803935866</v>
      </c>
      <c r="Q21" s="51">
        <v>27979.204803935863</v>
      </c>
      <c r="R21" s="51">
        <v>0</v>
      </c>
      <c r="S21" s="51">
        <v>82956.183023048012</v>
      </c>
      <c r="T21" s="51">
        <v>82956.183023048012</v>
      </c>
      <c r="U21" s="51">
        <v>110935.38782698388</v>
      </c>
      <c r="V21" s="51">
        <v>611296</v>
      </c>
      <c r="W21" s="59"/>
      <c r="X21" s="57">
        <f t="shared" si="1"/>
        <v>611296</v>
      </c>
      <c r="Y21" s="7"/>
      <c r="Z21" s="8">
        <f t="shared" si="0"/>
        <v>1</v>
      </c>
      <c r="AA21" s="36">
        <f t="shared" si="4"/>
        <v>500360.61217301612</v>
      </c>
      <c r="AB21" s="36">
        <f t="shared" si="2"/>
        <v>0</v>
      </c>
      <c r="AC21" s="1" t="s">
        <v>39</v>
      </c>
    </row>
    <row r="22" spans="1:29" ht="30.75">
      <c r="A22" s="1">
        <v>20</v>
      </c>
      <c r="C22" s="114" t="s">
        <v>21</v>
      </c>
      <c r="D22" s="114"/>
      <c r="E22" s="114"/>
      <c r="F22" s="50">
        <v>11839.369367667528</v>
      </c>
      <c r="G22" s="82" t="str">
        <f t="shared" si="3"/>
        <v>amt paid 11839.37</v>
      </c>
      <c r="H22" s="32">
        <v>0.20815358067299397</v>
      </c>
      <c r="I22" s="32">
        <v>0.10761931277823654</v>
      </c>
      <c r="J22" s="42" t="s">
        <v>30</v>
      </c>
      <c r="K22" s="50">
        <v>3715202.63</v>
      </c>
      <c r="L22" s="50">
        <v>3178415</v>
      </c>
      <c r="M22" s="50">
        <v>0</v>
      </c>
      <c r="N22" s="50">
        <v>-6827.3845183594285</v>
      </c>
      <c r="O22" s="50">
        <v>6886790.2454816401</v>
      </c>
      <c r="P22" s="50">
        <v>5786908.6944012661</v>
      </c>
      <c r="Q22" s="50">
        <v>-1099881.5510803736</v>
      </c>
      <c r="R22" s="50">
        <v>912723</v>
      </c>
      <c r="S22" s="50">
        <v>2137226.4716934282</v>
      </c>
      <c r="T22" s="50">
        <v>1224503.4716934282</v>
      </c>
      <c r="U22" s="50">
        <v>124621.92061305465</v>
      </c>
      <c r="V22" s="50">
        <v>11839.37</v>
      </c>
      <c r="W22" s="59"/>
      <c r="X22" s="57">
        <f t="shared" si="1"/>
        <v>11839.37</v>
      </c>
      <c r="Y22" s="33"/>
      <c r="Z22" s="34">
        <f t="shared" si="0"/>
        <v>0</v>
      </c>
      <c r="AA22" s="36"/>
      <c r="AB22" s="36">
        <f t="shared" si="2"/>
        <v>112782.55061305466</v>
      </c>
    </row>
    <row r="23" spans="1:29" ht="30.75">
      <c r="A23" s="1">
        <v>21</v>
      </c>
      <c r="C23" s="113" t="s">
        <v>22</v>
      </c>
      <c r="D23" s="113"/>
      <c r="E23" s="113"/>
      <c r="F23" s="54">
        <v>43193.21921568628</v>
      </c>
      <c r="G23" s="84" t="str">
        <f t="shared" si="3"/>
        <v>amt paid 43193.22</v>
      </c>
      <c r="H23" s="12" t="s">
        <v>54</v>
      </c>
      <c r="I23" s="12" t="s">
        <v>54</v>
      </c>
      <c r="J23" s="28" t="s">
        <v>28</v>
      </c>
      <c r="K23" s="54">
        <v>4795968.38</v>
      </c>
      <c r="L23" s="54">
        <v>0</v>
      </c>
      <c r="M23" s="54">
        <v>0</v>
      </c>
      <c r="N23" s="54">
        <v>-4345.0051769594393</v>
      </c>
      <c r="O23" s="54">
        <v>4791623.3748230403</v>
      </c>
      <c r="P23" s="54">
        <v>3040562.8260988723</v>
      </c>
      <c r="Q23" s="54">
        <v>-1751060.5487241677</v>
      </c>
      <c r="R23" s="54">
        <v>325057.74</v>
      </c>
      <c r="S23" s="54">
        <v>1798129.29220272</v>
      </c>
      <c r="T23" s="54">
        <v>1473071.55220272</v>
      </c>
      <c r="U23" s="54">
        <v>-277988.99652144779</v>
      </c>
      <c r="V23" s="54">
        <v>43193.22</v>
      </c>
      <c r="W23" s="59"/>
      <c r="X23" s="57">
        <f t="shared" si="1"/>
        <v>43193.22</v>
      </c>
      <c r="Y23" s="11"/>
      <c r="Z23" s="8">
        <f t="shared" si="0"/>
        <v>1</v>
      </c>
      <c r="AA23" s="36">
        <f t="shared" si="4"/>
        <v>43193.22</v>
      </c>
      <c r="AB23" s="36">
        <f t="shared" si="2"/>
        <v>0</v>
      </c>
    </row>
    <row r="24" spans="1:29" ht="30.75">
      <c r="A24" s="1">
        <v>22</v>
      </c>
      <c r="C24" s="114" t="s">
        <v>23</v>
      </c>
      <c r="D24" s="114"/>
      <c r="E24" s="114"/>
      <c r="F24" s="50">
        <v>10747.561694173794</v>
      </c>
      <c r="G24" s="82" t="str">
        <f t="shared" si="3"/>
        <v>amt paid 10747.55</v>
      </c>
      <c r="H24" s="32">
        <v>0.35412406271301977</v>
      </c>
      <c r="I24" s="32">
        <v>0.18990498590834942</v>
      </c>
      <c r="J24" s="42" t="s">
        <v>30</v>
      </c>
      <c r="K24" s="50">
        <v>3906649.6</v>
      </c>
      <c r="L24" s="50">
        <v>83549.67</v>
      </c>
      <c r="M24" s="50">
        <v>0</v>
      </c>
      <c r="N24" s="50">
        <v>0</v>
      </c>
      <c r="O24" s="50">
        <v>3990199.27</v>
      </c>
      <c r="P24" s="50">
        <v>4189418.8587301937</v>
      </c>
      <c r="Q24" s="50">
        <v>199219.58873019367</v>
      </c>
      <c r="R24" s="50">
        <v>398794.28</v>
      </c>
      <c r="S24" s="50">
        <v>941255.13816009357</v>
      </c>
      <c r="T24" s="50">
        <v>542460.85816009354</v>
      </c>
      <c r="U24" s="50">
        <v>741680.44689028722</v>
      </c>
      <c r="V24" s="50">
        <v>10747.55</v>
      </c>
      <c r="W24" s="59"/>
      <c r="X24" s="57">
        <f t="shared" si="1"/>
        <v>10747.55</v>
      </c>
      <c r="Y24" s="33"/>
      <c r="Z24" s="34">
        <f t="shared" si="0"/>
        <v>0</v>
      </c>
      <c r="AA24" s="36"/>
      <c r="AB24" s="36">
        <f t="shared" si="2"/>
        <v>730932.89689028717</v>
      </c>
    </row>
    <row r="25" spans="1:29" ht="30.75">
      <c r="A25" s="1">
        <v>23</v>
      </c>
      <c r="C25" s="113" t="s">
        <v>24</v>
      </c>
      <c r="D25" s="113"/>
      <c r="E25" s="113"/>
      <c r="F25" s="54">
        <v>15496.955702923045</v>
      </c>
      <c r="G25" s="84" t="str">
        <f t="shared" si="3"/>
        <v>amt paid 15496.96</v>
      </c>
      <c r="H25" s="12">
        <v>0.29593056167054532</v>
      </c>
      <c r="I25" s="12">
        <v>0</v>
      </c>
      <c r="J25" s="28" t="s">
        <v>30</v>
      </c>
      <c r="K25" s="54">
        <v>13314166.9000002</v>
      </c>
      <c r="L25" s="54">
        <v>0</v>
      </c>
      <c r="M25" s="54">
        <v>0</v>
      </c>
      <c r="N25" s="54">
        <v>-9992.7743869985807</v>
      </c>
      <c r="O25" s="54">
        <v>13304174.125613201</v>
      </c>
      <c r="P25" s="54">
        <v>10500906.400263116</v>
      </c>
      <c r="Q25" s="54">
        <v>-2803267.7253500856</v>
      </c>
      <c r="R25" s="54">
        <v>0</v>
      </c>
      <c r="S25" s="54">
        <v>1492453.2033262551</v>
      </c>
      <c r="T25" s="54">
        <v>1492453.2033262551</v>
      </c>
      <c r="U25" s="54">
        <v>-1310814.5220238306</v>
      </c>
      <c r="V25" s="54">
        <v>15496.96</v>
      </c>
      <c r="W25" s="59"/>
      <c r="X25" s="57">
        <f t="shared" si="1"/>
        <v>15496.96</v>
      </c>
      <c r="Y25" s="11"/>
      <c r="Z25" s="8">
        <f t="shared" si="0"/>
        <v>1</v>
      </c>
      <c r="AA25" s="36">
        <f t="shared" si="4"/>
        <v>15496.96</v>
      </c>
      <c r="AB25" s="36">
        <f t="shared" si="2"/>
        <v>0</v>
      </c>
    </row>
    <row r="26" spans="1:29" ht="30.75">
      <c r="A26" s="1">
        <v>24</v>
      </c>
      <c r="C26" s="114" t="s">
        <v>45</v>
      </c>
      <c r="D26" s="114"/>
      <c r="E26" s="114"/>
      <c r="F26" s="50">
        <v>726501.46730578039</v>
      </c>
      <c r="G26" s="85" t="s">
        <v>75</v>
      </c>
      <c r="H26" s="32">
        <v>0.36675672084680455</v>
      </c>
      <c r="I26" s="32">
        <v>0.2765497168564709</v>
      </c>
      <c r="J26" s="42" t="s">
        <v>30</v>
      </c>
      <c r="K26" s="50">
        <v>54443524.100000001</v>
      </c>
      <c r="L26" s="50">
        <v>24313858.649999999</v>
      </c>
      <c r="M26" s="50">
        <v>2485090</v>
      </c>
      <c r="N26" s="50">
        <v>0</v>
      </c>
      <c r="O26" s="50">
        <v>81242472.75</v>
      </c>
      <c r="P26" s="50">
        <v>80801765.404821366</v>
      </c>
      <c r="Q26" s="50">
        <v>-440707.34517862648</v>
      </c>
      <c r="R26" s="50">
        <v>1456016.55</v>
      </c>
      <c r="S26" s="50">
        <v>7586395.5475939456</v>
      </c>
      <c r="T26" s="50">
        <v>6130378.9975939458</v>
      </c>
      <c r="U26" s="50">
        <v>5689671.6524153193</v>
      </c>
      <c r="V26" s="50">
        <v>893675.47</v>
      </c>
      <c r="W26" s="59"/>
      <c r="X26" s="57">
        <f t="shared" si="1"/>
        <v>726501.46730578039</v>
      </c>
      <c r="Y26" s="33">
        <v>167174.00269421958</v>
      </c>
      <c r="Z26" s="34">
        <f t="shared" si="0"/>
        <v>0</v>
      </c>
      <c r="AA26" s="36"/>
      <c r="AB26" s="36">
        <f t="shared" si="2"/>
        <v>4795996.1824153196</v>
      </c>
    </row>
    <row r="27" spans="1:29" ht="30.75">
      <c r="A27" s="1">
        <v>25</v>
      </c>
      <c r="C27" s="113" t="s">
        <v>25</v>
      </c>
      <c r="D27" s="113"/>
      <c r="E27" s="113"/>
      <c r="F27" s="54">
        <v>9347.3888429240342</v>
      </c>
      <c r="G27" s="84" t="str">
        <f t="shared" si="3"/>
        <v>amt paid 9347.39</v>
      </c>
      <c r="H27" s="9">
        <v>0.15885402841062682</v>
      </c>
      <c r="I27" s="9">
        <v>0</v>
      </c>
      <c r="J27" s="28" t="s">
        <v>30</v>
      </c>
      <c r="K27" s="54">
        <v>8104122.3199999901</v>
      </c>
      <c r="L27" s="54">
        <v>0</v>
      </c>
      <c r="M27" s="54">
        <v>0</v>
      </c>
      <c r="N27" s="54">
        <v>-43700.086355750427</v>
      </c>
      <c r="O27" s="54">
        <v>8060422.2336442396</v>
      </c>
      <c r="P27" s="54">
        <v>6915519.2207550816</v>
      </c>
      <c r="Q27" s="54">
        <v>-1144903.012889158</v>
      </c>
      <c r="R27" s="54">
        <v>0</v>
      </c>
      <c r="S27" s="54">
        <v>2169646.7425541719</v>
      </c>
      <c r="T27" s="54">
        <v>2169646.7425541719</v>
      </c>
      <c r="U27" s="54">
        <v>1024743.729665014</v>
      </c>
      <c r="V27" s="54">
        <v>9347.39</v>
      </c>
      <c r="W27" s="59"/>
      <c r="X27" s="57">
        <f t="shared" si="1"/>
        <v>9347.39</v>
      </c>
      <c r="Y27" s="11"/>
      <c r="Z27" s="8">
        <f t="shared" si="0"/>
        <v>0</v>
      </c>
      <c r="AA27" s="36"/>
      <c r="AB27" s="36">
        <f t="shared" si="2"/>
        <v>1015396.3396650139</v>
      </c>
    </row>
    <row r="28" spans="1:29" ht="32.25">
      <c r="A28" s="1">
        <v>26</v>
      </c>
      <c r="C28" s="114" t="s">
        <v>26</v>
      </c>
      <c r="D28" s="114"/>
      <c r="E28" s="114"/>
      <c r="F28" s="50">
        <v>1033338.82</v>
      </c>
      <c r="G28" s="79" t="str">
        <f>"cap $1M + DSH Add-on $33,338.82"</f>
        <v>cap $1M + DSH Add-on $33,338.82</v>
      </c>
      <c r="H28" s="32" t="s">
        <v>54</v>
      </c>
      <c r="I28" s="32" t="s">
        <v>54</v>
      </c>
      <c r="J28" s="42" t="s">
        <v>28</v>
      </c>
      <c r="K28" s="50">
        <v>1448398.28</v>
      </c>
      <c r="L28" s="50">
        <v>0</v>
      </c>
      <c r="M28" s="50">
        <v>0</v>
      </c>
      <c r="N28" s="50">
        <v>-141.88868000719657</v>
      </c>
      <c r="O28" s="50">
        <v>1448256.3913199927</v>
      </c>
      <c r="P28" s="50">
        <v>1226344.0546972305</v>
      </c>
      <c r="Q28" s="50">
        <v>-221912.33662276226</v>
      </c>
      <c r="R28" s="95" t="s">
        <v>79</v>
      </c>
      <c r="S28" s="95" t="s">
        <v>79</v>
      </c>
      <c r="T28" s="95" t="s">
        <v>79</v>
      </c>
      <c r="U28" s="50">
        <v>-221912.33662276226</v>
      </c>
      <c r="V28" s="50">
        <v>1073338.81</v>
      </c>
      <c r="W28" s="59"/>
      <c r="X28" s="57">
        <f t="shared" si="1"/>
        <v>1073338.81</v>
      </c>
      <c r="Y28" s="33"/>
      <c r="Z28" s="34">
        <f t="shared" si="0"/>
        <v>1</v>
      </c>
      <c r="AA28" s="36">
        <f t="shared" si="4"/>
        <v>1073338.81</v>
      </c>
      <c r="AB28" s="36">
        <f t="shared" si="2"/>
        <v>0</v>
      </c>
      <c r="AC28" s="1" t="s">
        <v>40</v>
      </c>
    </row>
    <row r="29" spans="1:29" ht="30.75">
      <c r="A29" s="1">
        <v>27</v>
      </c>
      <c r="C29" s="113" t="s">
        <v>32</v>
      </c>
      <c r="D29" s="113"/>
      <c r="E29" s="113"/>
      <c r="F29" s="54">
        <v>47470.856538461543</v>
      </c>
      <c r="G29" s="84" t="str">
        <f t="shared" si="3"/>
        <v>amt paid 47470.86</v>
      </c>
      <c r="H29" s="26" t="s">
        <v>54</v>
      </c>
      <c r="I29" s="26" t="s">
        <v>54</v>
      </c>
      <c r="J29" s="28" t="s">
        <v>28</v>
      </c>
      <c r="K29" s="54">
        <v>2603048.6800000002</v>
      </c>
      <c r="L29" s="54">
        <v>0</v>
      </c>
      <c r="M29" s="54">
        <v>0</v>
      </c>
      <c r="N29" s="54">
        <v>0</v>
      </c>
      <c r="O29" s="54">
        <v>2603048.6800000002</v>
      </c>
      <c r="P29" s="54">
        <v>1979844.5606961269</v>
      </c>
      <c r="Q29" s="54">
        <v>-623204.11930387327</v>
      </c>
      <c r="R29" s="54">
        <v>175607.62</v>
      </c>
      <c r="S29" s="54">
        <v>600883.61514533358</v>
      </c>
      <c r="T29" s="54">
        <v>425275.99514533358</v>
      </c>
      <c r="U29" s="54">
        <v>-197928.12415853969</v>
      </c>
      <c r="V29" s="54">
        <v>47470.86</v>
      </c>
      <c r="W29" s="59"/>
      <c r="X29" s="57">
        <f t="shared" si="1"/>
        <v>47470.86</v>
      </c>
      <c r="Y29" s="11"/>
      <c r="Z29" s="8">
        <f t="shared" si="0"/>
        <v>1</v>
      </c>
      <c r="AA29" s="36">
        <f t="shared" si="4"/>
        <v>47470.86</v>
      </c>
      <c r="AB29" s="36">
        <f t="shared" si="2"/>
        <v>0</v>
      </c>
    </row>
    <row r="30" spans="1:29" ht="30.75">
      <c r="A30" s="1">
        <v>28</v>
      </c>
      <c r="C30" s="114" t="s">
        <v>52</v>
      </c>
      <c r="D30" s="114"/>
      <c r="E30" s="114"/>
      <c r="F30" s="50">
        <v>20286.849999999999</v>
      </c>
      <c r="G30" s="82" t="str">
        <f t="shared" si="3"/>
        <v>amt paid 20286.85</v>
      </c>
      <c r="H30" s="32" t="s">
        <v>54</v>
      </c>
      <c r="I30" s="32" t="s">
        <v>54</v>
      </c>
      <c r="J30" s="42" t="s">
        <v>28</v>
      </c>
      <c r="K30" s="50">
        <v>2900645.59</v>
      </c>
      <c r="L30" s="50">
        <v>0</v>
      </c>
      <c r="M30" s="50">
        <v>0</v>
      </c>
      <c r="N30" s="50">
        <v>-53537.485777391921</v>
      </c>
      <c r="O30" s="50">
        <v>2847108.1042226078</v>
      </c>
      <c r="P30" s="50">
        <v>2268861.0188256828</v>
      </c>
      <c r="Q30" s="50">
        <v>-578247.08539692499</v>
      </c>
      <c r="R30" s="50">
        <v>252237.72</v>
      </c>
      <c r="S30" s="50">
        <v>598083.11033791571</v>
      </c>
      <c r="T30" s="50">
        <v>345845.39033791574</v>
      </c>
      <c r="U30" s="50">
        <v>-232401.69505900925</v>
      </c>
      <c r="V30" s="50">
        <v>20286.849999999999</v>
      </c>
      <c r="W30" s="59"/>
      <c r="X30" s="57">
        <f t="shared" si="1"/>
        <v>20286.849999999999</v>
      </c>
      <c r="Y30" s="33"/>
      <c r="Z30" s="34">
        <f t="shared" si="0"/>
        <v>1</v>
      </c>
      <c r="AA30" s="36">
        <f t="shared" si="4"/>
        <v>20286.849999999999</v>
      </c>
      <c r="AB30" s="36">
        <f t="shared" si="2"/>
        <v>0</v>
      </c>
    </row>
    <row r="31" spans="1:29" ht="30.75">
      <c r="A31" s="1">
        <v>29</v>
      </c>
      <c r="C31" s="113" t="s">
        <v>51</v>
      </c>
      <c r="D31" s="113"/>
      <c r="E31" s="113"/>
      <c r="F31" s="54">
        <v>28938.979075362899</v>
      </c>
      <c r="G31" s="84" t="str">
        <f t="shared" si="3"/>
        <v>amt paid 28938.97</v>
      </c>
      <c r="H31" s="12">
        <v>0.19364728050367136</v>
      </c>
      <c r="I31" s="12">
        <v>8.7838346049771601E-2</v>
      </c>
      <c r="J31" s="28" t="s">
        <v>30</v>
      </c>
      <c r="K31" s="54">
        <v>13503854.030000001</v>
      </c>
      <c r="L31" s="54">
        <v>12990453</v>
      </c>
      <c r="M31" s="54">
        <v>329376</v>
      </c>
      <c r="N31" s="54">
        <v>58210.131371629926</v>
      </c>
      <c r="O31" s="54">
        <v>26881893.16137163</v>
      </c>
      <c r="P31" s="54">
        <v>22100430.561121929</v>
      </c>
      <c r="Q31" s="54">
        <v>-4781462.6002496993</v>
      </c>
      <c r="R31" s="54">
        <v>3668761</v>
      </c>
      <c r="S31" s="54">
        <v>8558977.7394701615</v>
      </c>
      <c r="T31" s="54">
        <v>4890216.7394701615</v>
      </c>
      <c r="U31" s="54">
        <v>108754.13922046218</v>
      </c>
      <c r="V31" s="54">
        <v>28938.969999999998</v>
      </c>
      <c r="W31" s="59"/>
      <c r="X31" s="57">
        <f t="shared" si="1"/>
        <v>28938.969999999998</v>
      </c>
      <c r="Y31" s="33"/>
      <c r="Z31" s="34">
        <f>IF(U31-V31&gt;0,,1)</f>
        <v>0</v>
      </c>
      <c r="AA31" s="36"/>
      <c r="AB31" s="36">
        <f t="shared" si="2"/>
        <v>79815.16922046218</v>
      </c>
    </row>
    <row r="32" spans="1:29" ht="32.25">
      <c r="A32" s="1">
        <v>30</v>
      </c>
      <c r="C32" s="114" t="s">
        <v>47</v>
      </c>
      <c r="D32" s="114"/>
      <c r="E32" s="114"/>
      <c r="F32" s="50">
        <v>70137.322307692302</v>
      </c>
      <c r="G32" s="82" t="str">
        <f t="shared" si="3"/>
        <v>amt paid 70137.32</v>
      </c>
      <c r="H32" s="30" t="s">
        <v>54</v>
      </c>
      <c r="I32" s="30" t="s">
        <v>54</v>
      </c>
      <c r="J32" s="42" t="s">
        <v>28</v>
      </c>
      <c r="K32" s="50">
        <v>3897795.68</v>
      </c>
      <c r="L32" s="50">
        <v>0</v>
      </c>
      <c r="M32" s="50">
        <v>0</v>
      </c>
      <c r="N32" s="50">
        <v>23934.886668105137</v>
      </c>
      <c r="O32" s="50">
        <v>3921730.5666681053</v>
      </c>
      <c r="P32" s="50">
        <v>3679006.9239792507</v>
      </c>
      <c r="Q32" s="50">
        <v>-242723.6426888546</v>
      </c>
      <c r="R32" s="95" t="s">
        <v>79</v>
      </c>
      <c r="S32" s="95" t="s">
        <v>79</v>
      </c>
      <c r="T32" s="95" t="s">
        <v>79</v>
      </c>
      <c r="U32" s="50">
        <v>-242723.6426888546</v>
      </c>
      <c r="V32" s="50">
        <v>70137.320000000007</v>
      </c>
      <c r="W32" s="59"/>
      <c r="X32" s="57">
        <f t="shared" si="1"/>
        <v>70137.320000000007</v>
      </c>
      <c r="Y32" s="11"/>
      <c r="Z32" s="8">
        <f>IF(U32-V32&gt;0,,1)</f>
        <v>1</v>
      </c>
      <c r="AA32" s="36">
        <f t="shared" si="4"/>
        <v>70137.320000000007</v>
      </c>
      <c r="AB32" s="36">
        <f t="shared" si="2"/>
        <v>0</v>
      </c>
    </row>
    <row r="33" spans="1:28" ht="37.5">
      <c r="A33" s="1">
        <v>31</v>
      </c>
      <c r="C33" s="113" t="s">
        <v>48</v>
      </c>
      <c r="D33" s="113"/>
      <c r="E33" s="113"/>
      <c r="F33" s="54">
        <v>15825356.599668898</v>
      </c>
      <c r="G33" s="85" t="s">
        <v>76</v>
      </c>
      <c r="H33" s="9">
        <v>0.297672800309977</v>
      </c>
      <c r="I33" s="9">
        <v>0.1910200435130221</v>
      </c>
      <c r="J33" s="28" t="s">
        <v>30</v>
      </c>
      <c r="K33" s="54">
        <v>94340370</v>
      </c>
      <c r="L33" s="54">
        <v>0</v>
      </c>
      <c r="M33" s="54">
        <v>59665615</v>
      </c>
      <c r="N33" s="54">
        <v>2682916.4022222664</v>
      </c>
      <c r="O33" s="54">
        <v>156688901.40222228</v>
      </c>
      <c r="P33" s="54">
        <v>128768760.30245417</v>
      </c>
      <c r="Q33" s="54">
        <v>-27920141.099768095</v>
      </c>
      <c r="R33" s="54">
        <v>20032221</v>
      </c>
      <c r="S33" s="54">
        <v>64048922.346791677</v>
      </c>
      <c r="T33" s="54">
        <v>44016701.346791677</v>
      </c>
      <c r="U33" s="54">
        <v>16096560.247023582</v>
      </c>
      <c r="V33" s="54">
        <v>15872468</v>
      </c>
      <c r="W33" s="59"/>
      <c r="X33" s="57">
        <f t="shared" si="1"/>
        <v>15825356.599668898</v>
      </c>
      <c r="Y33" s="11">
        <v>47111.400331102312</v>
      </c>
      <c r="Z33" s="8">
        <f t="shared" si="0"/>
        <v>0</v>
      </c>
      <c r="AA33" s="36"/>
      <c r="AB33" s="36">
        <f t="shared" si="2"/>
        <v>224092.24702358246</v>
      </c>
    </row>
    <row r="34" spans="1:28" ht="30.75">
      <c r="A34" s="1">
        <v>32</v>
      </c>
      <c r="C34" s="114" t="s">
        <v>27</v>
      </c>
      <c r="D34" s="114"/>
      <c r="E34" s="114"/>
      <c r="F34" s="50">
        <v>172472.42602351066</v>
      </c>
      <c r="G34" s="82" t="str">
        <f t="shared" ref="G34:G35" si="5">"amt paid "&amp;V34</f>
        <v>amt paid 172472.41</v>
      </c>
      <c r="H34" s="32">
        <v>0.24270180402523778</v>
      </c>
      <c r="I34" s="32">
        <v>0.18768127844084953</v>
      </c>
      <c r="J34" s="42" t="s">
        <v>30</v>
      </c>
      <c r="K34" s="50">
        <v>42424779.890000001</v>
      </c>
      <c r="L34" s="50">
        <v>3394001.44</v>
      </c>
      <c r="M34" s="50">
        <v>837940</v>
      </c>
      <c r="N34" s="50">
        <v>-11267.535146789025</v>
      </c>
      <c r="O34" s="50">
        <v>46645453.79485321</v>
      </c>
      <c r="P34" s="50">
        <v>41887854.216196448</v>
      </c>
      <c r="Q34" s="50">
        <v>-4757599.5786567675</v>
      </c>
      <c r="R34" s="50">
        <v>2254969.15</v>
      </c>
      <c r="S34" s="50">
        <v>10637627.938524675</v>
      </c>
      <c r="T34" s="50">
        <v>8382658.7885246743</v>
      </c>
      <c r="U34" s="50">
        <v>3625059.2098679068</v>
      </c>
      <c r="V34" s="50">
        <v>172472.41</v>
      </c>
      <c r="W34" s="59"/>
      <c r="X34" s="57">
        <f t="shared" si="1"/>
        <v>172472.41</v>
      </c>
      <c r="Y34" s="33"/>
      <c r="Z34" s="34">
        <f t="shared" si="0"/>
        <v>0</v>
      </c>
      <c r="AA34" s="36"/>
      <c r="AB34" s="36">
        <f t="shared" si="2"/>
        <v>3452586.7998679066</v>
      </c>
    </row>
    <row r="35" spans="1:28" ht="31.5" thickBot="1">
      <c r="A35" s="1">
        <v>33</v>
      </c>
      <c r="C35" s="117" t="s">
        <v>49</v>
      </c>
      <c r="D35" s="117"/>
      <c r="E35" s="117"/>
      <c r="F35" s="66">
        <v>102387.33174757281</v>
      </c>
      <c r="G35" s="86" t="str">
        <f t="shared" si="5"/>
        <v>amt paid 102387.32</v>
      </c>
      <c r="H35" s="67" t="s">
        <v>54</v>
      </c>
      <c r="I35" s="67" t="s">
        <v>54</v>
      </c>
      <c r="J35" s="68" t="s">
        <v>28</v>
      </c>
      <c r="K35" s="66">
        <v>7466553.2999999989</v>
      </c>
      <c r="L35" s="66">
        <v>774772.01</v>
      </c>
      <c r="M35" s="66">
        <v>0</v>
      </c>
      <c r="N35" s="66">
        <v>-6298.2320757354564</v>
      </c>
      <c r="O35" s="66">
        <v>8235027.0779242637</v>
      </c>
      <c r="P35" s="66">
        <v>6414636.2690068958</v>
      </c>
      <c r="Q35" s="66">
        <v>-1820390.8089173681</v>
      </c>
      <c r="R35" s="66">
        <v>718327.18</v>
      </c>
      <c r="S35" s="66">
        <v>2249029.8307207637</v>
      </c>
      <c r="T35" s="66">
        <v>1530702.6507207635</v>
      </c>
      <c r="U35" s="66">
        <v>-289688.15819660458</v>
      </c>
      <c r="V35" s="66">
        <v>102387.31999999999</v>
      </c>
      <c r="W35" s="59"/>
      <c r="X35" s="57">
        <f t="shared" si="1"/>
        <v>102387.31999999999</v>
      </c>
      <c r="Y35" s="33"/>
      <c r="Z35" s="34">
        <f>IF(U35-V35&gt;0,,1)</f>
        <v>1</v>
      </c>
      <c r="AA35" s="36">
        <f t="shared" si="4"/>
        <v>102387.31999999999</v>
      </c>
      <c r="AB35" s="36">
        <f t="shared" si="2"/>
        <v>0</v>
      </c>
    </row>
    <row r="36" spans="1:28" ht="32.25">
      <c r="A36" s="1">
        <v>34</v>
      </c>
      <c r="C36" s="116" t="s">
        <v>73</v>
      </c>
      <c r="D36" s="116"/>
      <c r="E36" s="116"/>
      <c r="F36" s="91">
        <v>934586</v>
      </c>
      <c r="G36" s="92" t="str">
        <f>"IMD limit $934,586"</f>
        <v>IMD limit $934,586</v>
      </c>
      <c r="H36" s="93">
        <v>0.20162367864693445</v>
      </c>
      <c r="I36" s="93">
        <v>1.0634851633817699</v>
      </c>
      <c r="J36" s="94" t="s">
        <v>30</v>
      </c>
      <c r="K36" s="91"/>
      <c r="L36" s="91"/>
      <c r="M36" s="91"/>
      <c r="N36" s="91"/>
      <c r="O36" s="91"/>
      <c r="P36" s="91"/>
      <c r="Q36" s="91"/>
      <c r="R36" s="91">
        <v>592821.48473972594</v>
      </c>
      <c r="S36" s="91">
        <v>20643084.396237358</v>
      </c>
      <c r="T36" s="91">
        <v>20050262.911497634</v>
      </c>
      <c r="U36" s="91">
        <v>20050262.911497634</v>
      </c>
      <c r="V36" s="91">
        <v>860267</v>
      </c>
      <c r="W36" s="39"/>
      <c r="X36" s="58">
        <f>V36</f>
        <v>860267</v>
      </c>
      <c r="Y36" s="11"/>
      <c r="Z36" s="41">
        <f t="shared" si="0"/>
        <v>0</v>
      </c>
      <c r="AA36" s="36"/>
      <c r="AB36" s="36">
        <f t="shared" ref="AB36" si="6">IF(AA36=0,U36-V36,0)</f>
        <v>19189995.911497634</v>
      </c>
    </row>
    <row r="37" spans="1:28" ht="8.25" customHeight="1">
      <c r="C37" s="43"/>
      <c r="D37" s="43"/>
      <c r="E37" s="43"/>
      <c r="F37" s="39"/>
      <c r="G37" s="87"/>
      <c r="H37" s="40"/>
      <c r="I37" s="40"/>
      <c r="J37" s="38"/>
      <c r="K37" s="39"/>
      <c r="L37" s="39"/>
      <c r="M37" s="39"/>
      <c r="N37" s="39"/>
      <c r="O37" s="39"/>
      <c r="P37" s="39"/>
      <c r="Q37" s="39"/>
      <c r="R37" s="39"/>
      <c r="S37" s="39"/>
      <c r="T37" s="39"/>
      <c r="U37" s="39"/>
      <c r="V37" s="39"/>
      <c r="W37" s="39"/>
    </row>
    <row r="38" spans="1:28" ht="21" customHeight="1">
      <c r="B38" s="71"/>
      <c r="C38" s="72" t="s">
        <v>29</v>
      </c>
      <c r="D38" s="71"/>
      <c r="E38" s="65"/>
      <c r="F38" s="73"/>
      <c r="G38" s="70"/>
      <c r="H38" s="74"/>
      <c r="I38" s="74"/>
      <c r="J38" s="75"/>
      <c r="K38" s="76"/>
      <c r="L38" s="76"/>
      <c r="M38" s="76"/>
      <c r="N38" s="76"/>
      <c r="O38" s="76"/>
      <c r="P38" s="76"/>
      <c r="Q38" s="76"/>
      <c r="R38" s="76"/>
      <c r="S38" s="76"/>
      <c r="T38" s="76"/>
      <c r="U38" s="76"/>
      <c r="V38" s="76"/>
      <c r="W38" s="24"/>
      <c r="AA38" s="37">
        <f>SUM(AA3:AA36)</f>
        <v>2575125.0453646863</v>
      </c>
      <c r="AB38" s="37">
        <f>SUM(AB3:AB36)</f>
        <v>63504888.676375881</v>
      </c>
    </row>
    <row r="39" spans="1:28" s="3" customFormat="1" ht="44.25" customHeight="1">
      <c r="B39" s="96"/>
      <c r="C39" s="97" t="s">
        <v>63</v>
      </c>
      <c r="D39" s="119" t="s">
        <v>77</v>
      </c>
      <c r="E39" s="119"/>
      <c r="F39" s="119"/>
      <c r="G39" s="119"/>
      <c r="H39" s="119"/>
      <c r="I39" s="119"/>
      <c r="J39" s="119"/>
      <c r="K39" s="119"/>
      <c r="L39" s="119"/>
      <c r="M39" s="119"/>
      <c r="N39" s="119"/>
      <c r="O39" s="119"/>
      <c r="P39" s="119"/>
      <c r="Q39" s="119"/>
      <c r="R39" s="119"/>
      <c r="S39" s="119"/>
      <c r="T39" s="119"/>
      <c r="U39" s="119"/>
      <c r="V39" s="119"/>
      <c r="W39" s="98"/>
      <c r="X39" s="17">
        <f>SUM(X3:X36)</f>
        <v>22637115.996974681</v>
      </c>
      <c r="Y39" s="17">
        <f>SUM(Y3:Y36)</f>
        <v>214285.4030253219</v>
      </c>
      <c r="Z39" s="16">
        <f>SUM(Z3:Z36)</f>
        <v>13</v>
      </c>
      <c r="AA39" s="3" t="s">
        <v>41</v>
      </c>
    </row>
    <row r="40" spans="1:28" s="3" customFormat="1" ht="6" customHeight="1">
      <c r="B40" s="96"/>
      <c r="C40" s="96"/>
      <c r="D40" s="96"/>
      <c r="E40" s="99"/>
      <c r="F40" s="96"/>
      <c r="G40" s="100"/>
      <c r="H40" s="101"/>
      <c r="I40" s="101"/>
      <c r="J40" s="102"/>
      <c r="K40" s="103"/>
      <c r="L40" s="103"/>
      <c r="M40" s="103"/>
      <c r="N40" s="103"/>
      <c r="O40" s="103"/>
      <c r="P40" s="103"/>
      <c r="Q40" s="103"/>
      <c r="R40" s="103"/>
      <c r="S40" s="103"/>
      <c r="T40" s="103"/>
      <c r="U40" s="103"/>
      <c r="V40" s="103"/>
      <c r="W40" s="104"/>
      <c r="X40" s="17"/>
      <c r="Y40" s="17"/>
    </row>
    <row r="41" spans="1:28" s="3" customFormat="1" ht="44.25" customHeight="1">
      <c r="B41" s="96"/>
      <c r="C41" s="97" t="s">
        <v>64</v>
      </c>
      <c r="D41" s="115" t="s">
        <v>78</v>
      </c>
      <c r="E41" s="115"/>
      <c r="F41" s="115"/>
      <c r="G41" s="115"/>
      <c r="H41" s="115"/>
      <c r="I41" s="115"/>
      <c r="J41" s="115"/>
      <c r="K41" s="115"/>
      <c r="L41" s="115"/>
      <c r="M41" s="115"/>
      <c r="N41" s="115"/>
      <c r="O41" s="115"/>
      <c r="P41" s="115"/>
      <c r="Q41" s="115"/>
      <c r="R41" s="115"/>
      <c r="S41" s="115"/>
      <c r="T41" s="115"/>
      <c r="U41" s="115"/>
      <c r="V41" s="115"/>
      <c r="W41" s="104"/>
      <c r="X41" s="105">
        <f>X40-X39</f>
        <v>-22637115.996974681</v>
      </c>
      <c r="Y41" s="106"/>
      <c r="Z41" s="17"/>
      <c r="AA41" s="3" t="s">
        <v>57</v>
      </c>
    </row>
    <row r="42" spans="1:28" s="3" customFormat="1" ht="6" customHeight="1">
      <c r="B42" s="96"/>
      <c r="C42" s="96"/>
      <c r="D42" s="96"/>
      <c r="E42" s="99"/>
      <c r="F42" s="96"/>
      <c r="G42" s="100"/>
      <c r="H42" s="101"/>
      <c r="I42" s="101"/>
      <c r="J42" s="102"/>
      <c r="K42" s="103"/>
      <c r="L42" s="103"/>
      <c r="M42" s="103"/>
      <c r="N42" s="103"/>
      <c r="O42" s="103"/>
      <c r="P42" s="103"/>
      <c r="Q42" s="103"/>
      <c r="R42" s="103"/>
      <c r="S42" s="103"/>
      <c r="T42" s="103"/>
      <c r="U42" s="103"/>
      <c r="V42" s="103"/>
      <c r="W42" s="104"/>
      <c r="X42" s="17"/>
      <c r="Y42" s="17"/>
    </row>
    <row r="43" spans="1:28" s="3" customFormat="1" ht="21.75" customHeight="1">
      <c r="B43" s="96"/>
      <c r="C43" s="97" t="s">
        <v>65</v>
      </c>
      <c r="D43" s="111" t="s">
        <v>62</v>
      </c>
      <c r="E43" s="111"/>
      <c r="F43" s="111"/>
      <c r="G43" s="111"/>
      <c r="H43" s="111"/>
      <c r="I43" s="111"/>
      <c r="J43" s="111"/>
      <c r="K43" s="111"/>
      <c r="L43" s="111"/>
      <c r="M43" s="111"/>
      <c r="N43" s="111"/>
      <c r="O43" s="111"/>
      <c r="P43" s="111"/>
      <c r="Q43" s="111"/>
      <c r="R43" s="111"/>
      <c r="S43" s="111"/>
      <c r="T43" s="111"/>
      <c r="U43" s="111"/>
      <c r="V43" s="111"/>
      <c r="W43" s="98"/>
      <c r="X43" s="98"/>
      <c r="Y43" s="106"/>
      <c r="Z43" s="17"/>
      <c r="AA43" s="37">
        <f>MIN($AA$3:$AA$36)</f>
        <v>15496.96</v>
      </c>
      <c r="AB43" s="3" t="s">
        <v>56</v>
      </c>
    </row>
    <row r="44" spans="1:28" s="3" customFormat="1" ht="6" customHeight="1">
      <c r="B44" s="96"/>
      <c r="C44" s="96"/>
      <c r="D44" s="96"/>
      <c r="E44" s="99"/>
      <c r="F44" s="96"/>
      <c r="G44" s="100"/>
      <c r="H44" s="101"/>
      <c r="I44" s="101"/>
      <c r="J44" s="102"/>
      <c r="K44" s="103"/>
      <c r="L44" s="103"/>
      <c r="M44" s="103"/>
      <c r="N44" s="103"/>
      <c r="O44" s="103"/>
      <c r="P44" s="103"/>
      <c r="Q44" s="103"/>
      <c r="R44" s="103"/>
      <c r="S44" s="103"/>
      <c r="T44" s="103"/>
      <c r="U44" s="103"/>
      <c r="V44" s="103"/>
      <c r="W44" s="104"/>
      <c r="X44" s="17"/>
      <c r="Y44" s="17"/>
    </row>
    <row r="45" spans="1:28" s="3" customFormat="1" ht="97.5" customHeight="1">
      <c r="B45" s="96"/>
      <c r="C45" s="97" t="s">
        <v>66</v>
      </c>
      <c r="D45" s="115" t="s">
        <v>69</v>
      </c>
      <c r="E45" s="115"/>
      <c r="F45" s="115"/>
      <c r="G45" s="115"/>
      <c r="H45" s="115"/>
      <c r="I45" s="115"/>
      <c r="J45" s="115"/>
      <c r="K45" s="115"/>
      <c r="L45" s="115"/>
      <c r="M45" s="115"/>
      <c r="N45" s="115"/>
      <c r="O45" s="115"/>
      <c r="P45" s="115"/>
      <c r="Q45" s="115"/>
      <c r="R45" s="115"/>
      <c r="S45" s="115"/>
      <c r="T45" s="115"/>
      <c r="U45" s="115"/>
      <c r="V45" s="115"/>
      <c r="W45" s="112" t="s">
        <v>68</v>
      </c>
      <c r="X45" s="98"/>
      <c r="Y45" s="106"/>
      <c r="Z45" s="17"/>
      <c r="AA45" s="89">
        <f>MAX($AA$3:$AA$36)</f>
        <v>1073338.81</v>
      </c>
      <c r="AB45" s="107" t="s">
        <v>55</v>
      </c>
    </row>
    <row r="46" spans="1:28" s="3" customFormat="1" ht="6" customHeight="1">
      <c r="B46" s="96"/>
      <c r="C46" s="96"/>
      <c r="D46" s="96"/>
      <c r="E46" s="99"/>
      <c r="F46" s="96"/>
      <c r="G46" s="100"/>
      <c r="H46" s="101"/>
      <c r="I46" s="101"/>
      <c r="J46" s="102"/>
      <c r="K46" s="103"/>
      <c r="L46" s="103"/>
      <c r="M46" s="103"/>
      <c r="N46" s="103"/>
      <c r="O46" s="103"/>
      <c r="P46" s="103"/>
      <c r="Q46" s="103"/>
      <c r="R46" s="103"/>
      <c r="S46" s="103"/>
      <c r="T46" s="103"/>
      <c r="U46" s="103"/>
      <c r="V46" s="103"/>
      <c r="W46" s="112"/>
      <c r="X46" s="17"/>
      <c r="Y46" s="17"/>
    </row>
    <row r="47" spans="1:28" s="3" customFormat="1" ht="21.75" customHeight="1">
      <c r="B47" s="96"/>
      <c r="C47" s="97" t="s">
        <v>72</v>
      </c>
      <c r="D47" s="111" t="s">
        <v>67</v>
      </c>
      <c r="E47" s="111"/>
      <c r="F47" s="111"/>
      <c r="G47" s="111"/>
      <c r="H47" s="111"/>
      <c r="I47" s="111"/>
      <c r="J47" s="111"/>
      <c r="K47" s="111"/>
      <c r="L47" s="111"/>
      <c r="M47" s="111"/>
      <c r="N47" s="111"/>
      <c r="O47" s="111"/>
      <c r="P47" s="111"/>
      <c r="Q47" s="111"/>
      <c r="R47" s="111"/>
      <c r="S47" s="111"/>
      <c r="T47" s="111"/>
      <c r="U47" s="111"/>
      <c r="V47" s="111"/>
      <c r="W47" s="112"/>
      <c r="X47" s="98"/>
      <c r="Y47" s="106"/>
      <c r="Z47" s="17"/>
      <c r="AA47" s="37">
        <f>SUM($AB$3:$AB$36)</f>
        <v>63504888.676375881</v>
      </c>
      <c r="AB47" s="3" t="s">
        <v>58</v>
      </c>
    </row>
    <row r="48" spans="1:28" s="3" customFormat="1" ht="6" customHeight="1">
      <c r="E48" s="108"/>
      <c r="G48" s="100"/>
      <c r="H48" s="109"/>
      <c r="I48" s="109"/>
      <c r="J48" s="110"/>
      <c r="K48" s="17"/>
      <c r="L48" s="17"/>
      <c r="M48" s="17"/>
      <c r="N48" s="17"/>
      <c r="O48" s="17"/>
      <c r="P48" s="17"/>
      <c r="Q48" s="17"/>
      <c r="R48" s="17"/>
      <c r="S48" s="17"/>
      <c r="T48" s="17"/>
      <c r="U48" s="17"/>
      <c r="V48" s="17"/>
      <c r="W48" s="112"/>
      <c r="X48" s="17"/>
      <c r="Y48" s="17"/>
    </row>
    <row r="49" spans="3:28" s="3" customFormat="1" ht="18.75">
      <c r="C49" s="97" t="s">
        <v>74</v>
      </c>
      <c r="D49" s="111" t="s">
        <v>81</v>
      </c>
      <c r="E49" s="111"/>
      <c r="F49" s="111"/>
      <c r="G49" s="111"/>
      <c r="H49" s="111"/>
      <c r="I49" s="111"/>
      <c r="J49" s="111"/>
      <c r="K49" s="111"/>
      <c r="L49" s="111"/>
      <c r="M49" s="111"/>
      <c r="N49" s="111"/>
      <c r="O49" s="111"/>
      <c r="P49" s="111"/>
      <c r="Q49" s="111"/>
      <c r="R49" s="111"/>
      <c r="S49" s="111"/>
      <c r="T49" s="111"/>
      <c r="U49" s="111"/>
      <c r="V49" s="111"/>
      <c r="W49" s="112"/>
      <c r="X49" s="17"/>
      <c r="Y49" s="17"/>
      <c r="AA49" s="17">
        <f>AA47-AB36</f>
        <v>44314892.764878243</v>
      </c>
      <c r="AB49" s="3" t="s">
        <v>59</v>
      </c>
    </row>
    <row r="50" spans="3:28" ht="9.75" customHeight="1"/>
    <row r="51" spans="3:28">
      <c r="AA51" s="44">
        <f>AB3+AB7+AB14+AB15+AB18+AB21+AB33</f>
        <v>428685.08080542739</v>
      </c>
      <c r="AB51" s="25" t="s">
        <v>60</v>
      </c>
    </row>
    <row r="52" spans="3:28" ht="39" customHeight="1">
      <c r="C52" s="14"/>
      <c r="D52" s="14"/>
      <c r="E52" s="13"/>
      <c r="F52" s="14"/>
      <c r="G52" s="69"/>
      <c r="H52" s="19"/>
      <c r="I52" s="19"/>
      <c r="J52" s="29"/>
      <c r="K52" s="15"/>
      <c r="L52" s="15"/>
      <c r="M52" s="15"/>
      <c r="N52" s="15"/>
      <c r="O52" s="15"/>
      <c r="P52" s="15"/>
      <c r="Q52" s="15"/>
      <c r="R52" s="15"/>
      <c r="S52" s="15"/>
      <c r="T52" s="15"/>
      <c r="U52" s="15"/>
      <c r="V52" s="63"/>
      <c r="AA52" s="1"/>
      <c r="AB52" s="1"/>
    </row>
    <row r="53" spans="3:28">
      <c r="AA53" s="2"/>
      <c r="AB53" s="1"/>
    </row>
    <row r="54" spans="3:28">
      <c r="AA54" s="2"/>
    </row>
    <row r="55" spans="3:28">
      <c r="E55" s="118"/>
      <c r="F55" s="118"/>
      <c r="G55" s="118"/>
      <c r="H55" s="118"/>
      <c r="AA55" s="37"/>
    </row>
    <row r="56" spans="3:28">
      <c r="E56" s="118"/>
      <c r="F56" s="118"/>
      <c r="G56" s="118"/>
      <c r="H56" s="118"/>
      <c r="AA56" s="37"/>
    </row>
    <row r="57" spans="3:28">
      <c r="E57" s="118"/>
      <c r="F57" s="118"/>
      <c r="G57" s="118"/>
      <c r="H57" s="118"/>
      <c r="AA57" s="17"/>
    </row>
    <row r="58" spans="3:28">
      <c r="E58" s="118"/>
      <c r="F58" s="118"/>
      <c r="G58" s="118"/>
      <c r="H58" s="118"/>
    </row>
    <row r="59" spans="3:28">
      <c r="E59" s="118"/>
      <c r="F59" s="118"/>
      <c r="G59" s="118"/>
      <c r="H59" s="118"/>
    </row>
    <row r="60" spans="3:28">
      <c r="E60" s="118"/>
      <c r="F60" s="118"/>
      <c r="G60" s="118"/>
      <c r="H60" s="118"/>
    </row>
  </sheetData>
  <mergeCells count="45">
    <mergeCell ref="C17:E17"/>
    <mergeCell ref="C6:E6"/>
    <mergeCell ref="C7:E7"/>
    <mergeCell ref="C8:E8"/>
    <mergeCell ref="C9:E9"/>
    <mergeCell ref="C10:E10"/>
    <mergeCell ref="C11:E11"/>
    <mergeCell ref="C12:E12"/>
    <mergeCell ref="C13:E13"/>
    <mergeCell ref="C5:E5"/>
    <mergeCell ref="C1:E1"/>
    <mergeCell ref="X1:Y1"/>
    <mergeCell ref="C2:E2"/>
    <mergeCell ref="C3:E3"/>
    <mergeCell ref="C4:E4"/>
    <mergeCell ref="E55:H60"/>
    <mergeCell ref="D39:V39"/>
    <mergeCell ref="D45:V45"/>
    <mergeCell ref="C14:E14"/>
    <mergeCell ref="C15:E15"/>
    <mergeCell ref="C16:E16"/>
    <mergeCell ref="C29:E29"/>
    <mergeCell ref="C18:E18"/>
    <mergeCell ref="C19:E19"/>
    <mergeCell ref="C20:E20"/>
    <mergeCell ref="C21:E21"/>
    <mergeCell ref="C22:E22"/>
    <mergeCell ref="C23:E23"/>
    <mergeCell ref="C24:E24"/>
    <mergeCell ref="C25:E25"/>
    <mergeCell ref="C26:E26"/>
    <mergeCell ref="D49:V49"/>
    <mergeCell ref="W45:W49"/>
    <mergeCell ref="C27:E27"/>
    <mergeCell ref="C28:E28"/>
    <mergeCell ref="D41:V41"/>
    <mergeCell ref="D43:V43"/>
    <mergeCell ref="D47:V47"/>
    <mergeCell ref="C36:E36"/>
    <mergeCell ref="C30:E30"/>
    <mergeCell ref="C31:E31"/>
    <mergeCell ref="C32:E32"/>
    <mergeCell ref="C33:E33"/>
    <mergeCell ref="C34:E34"/>
    <mergeCell ref="C35:E35"/>
  </mergeCells>
  <printOptions horizontalCentered="1" verticalCentered="1"/>
  <pageMargins left="0.24" right="0.34" top="0.75" bottom="0" header="0.45" footer="0"/>
  <pageSetup scale="37" fitToHeight="2" orientation="landscape" r:id="rId1"/>
  <headerFooter>
    <oddHeader>&amp;C&amp;"Calibri,Bold"&amp;24UTAH DEPARTMENT OF HEALTH
HOSPITAL DATA SUMMARY SCHEDULE
FOR MEDICAID STATE PLAN RATE YEAR ENDED SEPTEMBER 30,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2007</vt:lpstr>
      <vt:lpstr>'2007'!Print_Area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Kerby</dc:creator>
  <cp:lastModifiedBy>Brent</cp:lastModifiedBy>
  <cp:lastPrinted>2010-10-12T05:46:56Z</cp:lastPrinted>
  <dcterms:created xsi:type="dcterms:W3CDTF">2010-06-07T15:32:21Z</dcterms:created>
  <dcterms:modified xsi:type="dcterms:W3CDTF">2010-12-22T00:05:42Z</dcterms:modified>
</cp:coreProperties>
</file>