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9080" windowHeight="8445"/>
  </bookViews>
  <sheets>
    <sheet name="2006" sheetId="23" r:id="rId1"/>
  </sheets>
  <definedNames>
    <definedName name="_xlnm.Print_Area" localSheetId="0">'2006'!$B$1:$W$49</definedName>
  </definedNames>
  <calcPr calcId="125725"/>
</workbook>
</file>

<file path=xl/calcChain.xml><?xml version="1.0" encoding="utf-8"?>
<calcChain xmlns="http://schemas.openxmlformats.org/spreadsheetml/2006/main">
  <c r="G28" i="23"/>
  <c r="G21"/>
  <c r="G18"/>
  <c r="G15"/>
  <c r="G14"/>
  <c r="G7"/>
  <c r="G3"/>
  <c r="G34"/>
  <c r="G35"/>
  <c r="G32"/>
  <c r="G31"/>
  <c r="G30"/>
  <c r="G29"/>
  <c r="G27"/>
  <c r="G25"/>
  <c r="G24"/>
  <c r="G23"/>
  <c r="G22"/>
  <c r="G20"/>
  <c r="G19"/>
  <c r="G17"/>
  <c r="G16"/>
  <c r="G13"/>
  <c r="G12"/>
  <c r="G11"/>
  <c r="G10"/>
  <c r="G9"/>
  <c r="G8"/>
  <c r="G6"/>
  <c r="G5"/>
  <c r="G4"/>
  <c r="G36"/>
  <c r="AB6" l="1"/>
  <c r="AB7"/>
  <c r="AB8"/>
  <c r="AB10"/>
  <c r="AB12"/>
  <c r="AB13"/>
  <c r="AB17"/>
  <c r="AB18"/>
  <c r="AB19"/>
  <c r="AB20"/>
  <c r="AB22"/>
  <c r="AB24"/>
  <c r="AB26"/>
  <c r="AB34"/>
  <c r="Y39" l="1"/>
  <c r="X26"/>
  <c r="X36"/>
  <c r="X4"/>
  <c r="X5"/>
  <c r="X6"/>
  <c r="X7"/>
  <c r="X8"/>
  <c r="X9"/>
  <c r="X10"/>
  <c r="X11"/>
  <c r="X12"/>
  <c r="X13"/>
  <c r="X14"/>
  <c r="X15"/>
  <c r="X16"/>
  <c r="X17"/>
  <c r="X18"/>
  <c r="X19"/>
  <c r="X20"/>
  <c r="X21"/>
  <c r="X22"/>
  <c r="X23"/>
  <c r="X24"/>
  <c r="X25"/>
  <c r="X27"/>
  <c r="X28"/>
  <c r="X29"/>
  <c r="X30"/>
  <c r="X31"/>
  <c r="X32"/>
  <c r="X33"/>
  <c r="X34"/>
  <c r="X35"/>
  <c r="X3"/>
  <c r="AB36"/>
  <c r="Z36"/>
  <c r="Z35"/>
  <c r="AA35" s="1"/>
  <c r="AB35" s="1"/>
  <c r="Z34"/>
  <c r="Z33"/>
  <c r="AA33" s="1"/>
  <c r="AB33" s="1"/>
  <c r="Z32"/>
  <c r="Z31"/>
  <c r="AA31" s="1"/>
  <c r="AB31" s="1"/>
  <c r="Z30"/>
  <c r="Z29"/>
  <c r="Z28"/>
  <c r="Z27"/>
  <c r="Z26"/>
  <c r="Z25"/>
  <c r="AA25" s="1"/>
  <c r="AB25" s="1"/>
  <c r="Z24"/>
  <c r="Z23"/>
  <c r="AA23" s="1"/>
  <c r="AB23" s="1"/>
  <c r="Z22"/>
  <c r="Z21"/>
  <c r="Z20"/>
  <c r="Z19"/>
  <c r="Z18"/>
  <c r="Z17"/>
  <c r="Z16"/>
  <c r="AA16" s="1"/>
  <c r="AB16" s="1"/>
  <c r="Z15"/>
  <c r="AA15" s="1"/>
  <c r="AB15" s="1"/>
  <c r="Z14"/>
  <c r="AA14" s="1"/>
  <c r="AB14" s="1"/>
  <c r="Z13"/>
  <c r="Z12"/>
  <c r="Z11"/>
  <c r="AA11" s="1"/>
  <c r="AB11" s="1"/>
  <c r="Z10"/>
  <c r="Z9"/>
  <c r="AA9" s="1"/>
  <c r="AB9" s="1"/>
  <c r="Z8"/>
  <c r="Z7"/>
  <c r="Z6"/>
  <c r="Z5"/>
  <c r="AA5" s="1"/>
  <c r="AB5" s="1"/>
  <c r="Z4"/>
  <c r="AA4" s="1"/>
  <c r="AB3"/>
  <c r="Z3"/>
  <c r="X39" l="1"/>
  <c r="X41" s="1"/>
  <c r="AB4"/>
  <c r="Z39"/>
  <c r="AA27"/>
  <c r="AB27" s="1"/>
  <c r="AA29"/>
  <c r="AB29" s="1"/>
  <c r="AA21"/>
  <c r="AB21" s="1"/>
  <c r="AA28"/>
  <c r="AB28" s="1"/>
  <c r="AA30"/>
  <c r="AB30" s="1"/>
  <c r="AA32"/>
  <c r="AB32" s="1"/>
  <c r="AB38" l="1"/>
  <c r="AA38"/>
  <c r="AA45"/>
  <c r="AA43"/>
  <c r="AA51" l="1"/>
  <c r="AA47"/>
  <c r="AA49" s="1"/>
</calcChain>
</file>

<file path=xl/sharedStrings.xml><?xml version="1.0" encoding="utf-8"?>
<sst xmlns="http://schemas.openxmlformats.org/spreadsheetml/2006/main" count="157" uniqueCount="81">
  <si>
    <t>Hospital Name</t>
  </si>
  <si>
    <t>Medicaid Inpatient Utilization Rate (MIUR)</t>
  </si>
  <si>
    <t>Low Income Utilization Rate (LIUR)</t>
  </si>
  <si>
    <t>IP/OP Medicaid Fee-For-Service (FFS) Basic Rate Payments</t>
  </si>
  <si>
    <t>IP/OP Medicaid Managed Care Organization Payments</t>
  </si>
  <si>
    <t>Supplemental /Enhanced Medicaid IP/OP Payments</t>
  </si>
  <si>
    <t>Total Cost of Care for Medicaid IP/OP Services</t>
  </si>
  <si>
    <t>Total Cost of IP/OP Care for the Uninsured</t>
  </si>
  <si>
    <t>Total Uninsured IP/OP Uncompensated Care Costs</t>
  </si>
  <si>
    <t>Medicaid Disproportionate Share Hospital Payments</t>
  </si>
  <si>
    <t>Allen Memorial Hospital</t>
  </si>
  <si>
    <t>American Fork Hospital</t>
  </si>
  <si>
    <t>Bear River Valley Hospital</t>
  </si>
  <si>
    <t>Beaver Valley Hospital</t>
  </si>
  <si>
    <t>Dixie Medical Center</t>
  </si>
  <si>
    <t>Fillmore Hospital</t>
  </si>
  <si>
    <t>Garfield Memorial Hospital</t>
  </si>
  <si>
    <t>Gunnison Valley Hospital</t>
  </si>
  <si>
    <t>Kane County Hospital</t>
  </si>
  <si>
    <t>Logan Regional Medical Center</t>
  </si>
  <si>
    <t>Milford Valley Memorial Hospital</t>
  </si>
  <si>
    <t xml:space="preserve">Mountain View (Columbia) Hospital </t>
  </si>
  <si>
    <t>Mountain West Medical Center</t>
  </si>
  <si>
    <t>Orem Community Hospital</t>
  </si>
  <si>
    <t>Pioneer Valley Hospital</t>
  </si>
  <si>
    <t>Salt Lake Regional Medical Center</t>
  </si>
  <si>
    <t>San Juan Hospital</t>
  </si>
  <si>
    <t>Utah Valley Regional Medical Center</t>
  </si>
  <si>
    <t>Qualifies.  See Footnote (1)(a).</t>
  </si>
  <si>
    <t>Footnotes:</t>
  </si>
  <si>
    <t>Qualifies.  See Footnote (1)(b).</t>
  </si>
  <si>
    <t>Intermountain Medical Center</t>
  </si>
  <si>
    <t>Sanpete Valley Hospital</t>
  </si>
  <si>
    <t>State Defined DSH Qualification Criteria</t>
  </si>
  <si>
    <t>Central Valley Medical Center</t>
  </si>
  <si>
    <t>Total Medicaid In-State &amp; Out-Of-State Uncompensated Care</t>
  </si>
  <si>
    <t>Medicaid In-State Disproportionate Share Hospital Payments</t>
  </si>
  <si>
    <t>Medicaid OOS Disproportionate Share Hospital Payments</t>
  </si>
  <si>
    <t>*** Remove From Final Report***</t>
  </si>
  <si>
    <t>of 34 - DSH payment exceeded UCC.</t>
  </si>
  <si>
    <t xml:space="preserve">Total 
Medicaid IP/OP Payments </t>
  </si>
  <si>
    <t>Ashley Regional Medical Center</t>
  </si>
  <si>
    <t>Delta Community Medical Center</t>
  </si>
  <si>
    <t>Primary Childrens Medical Center</t>
  </si>
  <si>
    <t>Castleview Hospital</t>
  </si>
  <si>
    <t>Heber Valley Medical Center</t>
  </si>
  <si>
    <t>Uintah Basin Medical Center</t>
  </si>
  <si>
    <t>University Of Utah Hospital</t>
  </si>
  <si>
    <t>Valley View Medical Center</t>
  </si>
  <si>
    <t>Brigham City Hospital</t>
  </si>
  <si>
    <t>St Mark's Hospital</t>
  </si>
  <si>
    <t>Sevier Valley Medical Center</t>
  </si>
  <si>
    <t>N/A.  See 
Footnote (1)(a).</t>
  </si>
  <si>
    <t>MAX</t>
  </si>
  <si>
    <t>MIN</t>
  </si>
  <si>
    <t>EXCESS UCC AGGREGATED</t>
  </si>
  <si>
    <t>EXCESS UCC AGGREGATED W/OUT IMD</t>
  </si>
  <si>
    <t>EXCESS UCC OF 7 RURALS &amp; UOFU</t>
  </si>
  <si>
    <t>Medicare Supplemental Settlements</t>
  </si>
  <si>
    <t>No applicable Section 1011 payments were reported by the hospitals.</t>
  </si>
  <si>
    <t>(1).</t>
  </si>
  <si>
    <t>(2).</t>
  </si>
  <si>
    <t>(3).</t>
  </si>
  <si>
    <t>(4).</t>
  </si>
  <si>
    <t>Negative uncompensated care amounts represent total payments in excess of total hospital service costs for Medicaid eligible and uninsured patients.</t>
  </si>
  <si>
    <t xml:space="preserve">EXHIBIT 1 </t>
  </si>
  <si>
    <t xml:space="preserve">***Supplemental DSH payment of $450,208 exceeded cap of $450,207.  </t>
  </si>
  <si>
    <t xml:space="preserve">Uncompensated care is defined as the amount of non-reimbursed costs written off as non-recoverable for services rendered to the uninsured, i.e., indigent, and includes the difference between cost of providing services to those eligible for medical assistance under the State Plan and the payment for those service by the State by Medicaid or any other payer. Uncompensated care also includes, costs incurred for inpatient and outpatient hospital services to individuals with no source of third-party coverage for the hospital services they receive, including all Section 1011 charges for undocumented aliens. The uninsured uncompensated amount cannot include amounts associated with unpaid co-pays or deductibles for individuals with third-party insurance or any other unreimbursed costs associated with inpatient or outpatient services provided to individuals with third-party coverage, but for which such third-party benefit package excludes such services.  Nor does uncompensated care cost include bad debt or payer discounts related to services furnished to individuals who have any form of insurance coverage. The total uncompensated care costs for the uninsured includes the cost of furnishing inpatient and outpatient services less any direct or indirect payments from or on behalf of such uninsured individuals.  Prisoners or other wards of the State are not considered uninsured.  </t>
  </si>
  <si>
    <t>Estimate of Hospital-Specific DSH Limit
(Footnote 2)</t>
  </si>
  <si>
    <t>Uninsured IP/OP Revenues
(Footnote 3)</t>
  </si>
  <si>
    <t>(5).</t>
  </si>
  <si>
    <t>Utah State Hospital (IMD)</t>
  </si>
  <si>
    <t>(6).</t>
  </si>
  <si>
    <t>Amt paid 813,906 less OOS pymt 128,860.01</t>
  </si>
  <si>
    <t>Amt paid 13,193,582 less OOS pymt $0</t>
  </si>
  <si>
    <t>Utah State Plan DSH qualification criteria: (a). Rural Hospitals- All rural hospitals qualify automatically for DSH.  (b). Urban, Teaching &amp; State Hospitals- Must have met I and II and either III or IV.  I. Have a MIUR of at least 1%.  II. Have at least 2 obstetricians who have staff privileges &amp; agree to provide these services to individuals entitled to "medical assistance".  III.  Have a MIUR of at least 14%.  IV. Have a LIUR of at least 25%.</t>
  </si>
  <si>
    <t xml:space="preserve">The hospital-specific DSH limit is the lower of the cap set forth in the State Plan or the actual DSH payment for the hospital's estimated uncompensated care costs less any out-of-state DSH monies paid for the Medicaid State Plan rate year ended September 30, 2006. The State IMD DSH limit is set under Federal Register Vol. 72, No. 248. </t>
  </si>
  <si>
    <t>See 
Footnote (6).</t>
  </si>
  <si>
    <t>Total Annual Uncompensated Care Costs
(Footnote 4 &amp; 5)</t>
  </si>
  <si>
    <t>Uncompensated care costs were limited to Medicaid in-state eligible patients.  The hospital was unable to identify specific Medicaid out-of-state and uninsured charges and payments.</t>
  </si>
  <si>
    <t>McKay Dee Hospital</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</si>
</sst>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3" formatCode="_(* #,##0.00_);_(* \(#,##0.00\);_(* &quot;-&quot;??_);_(@_)"/>
    <numFmt numFmtId="164" formatCode="0_);\(0\)"/>
    <numFmt numFmtId="165" formatCode="_(* #,##0.00_);_(* \(#,##0.00\);_(* &quot;-&quot;_);_(@_)"/>
  </numFmts>
  <fonts count="31">
    <font>
      <sz val="11"/>
      <color theme="1"/>
      <name val="Times New Roman"/>
      <family val="2"/>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name val="Calibri"/>
      <family val="2"/>
      <scheme val="minor"/>
    </font>
    <font>
      <sz val="11"/>
      <color theme="1"/>
      <name val="Calibri"/>
      <family val="2"/>
      <scheme val="minor"/>
    </font>
    <font>
      <sz val="12"/>
      <color theme="1"/>
      <name val="Calibri"/>
      <family val="2"/>
      <scheme val="minor"/>
    </font>
    <font>
      <sz val="20"/>
      <color theme="1"/>
      <name val="Calibri"/>
      <family val="2"/>
      <scheme val="minor"/>
    </font>
    <font>
      <sz val="14"/>
      <color theme="1"/>
      <name val="Calibri"/>
      <family val="2"/>
      <scheme val="minor"/>
    </font>
    <font>
      <sz val="14"/>
      <name val="Calibri"/>
      <family val="2"/>
      <scheme val="minor"/>
    </font>
    <font>
      <b/>
      <sz val="26"/>
      <color theme="1"/>
      <name val="Calibri"/>
      <family val="2"/>
      <scheme val="minor"/>
    </font>
    <font>
      <b/>
      <u/>
      <sz val="14"/>
      <name val="Calibri"/>
      <family val="2"/>
      <scheme val="minor"/>
    </font>
    <font>
      <sz val="9"/>
      <color theme="1"/>
      <name val="Calibri"/>
      <family val="2"/>
      <scheme val="minor"/>
    </font>
    <font>
      <sz val="9"/>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34">
    <xf numFmtId="0" fontId="0" fillId="0" borderId="0"/>
    <xf numFmtId="43" fontId="1" fillId="0" borderId="0" applyFont="0" applyFill="0" applyBorder="0" applyAlignment="0" applyProtection="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3" fillId="2" borderId="0" applyNumberFormat="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22" fillId="0" borderId="0" xfId="0" applyFont="1"/>
    <xf numFmtId="43" fontId="22" fillId="0" borderId="0" xfId="0" applyNumberFormat="1" applyFont="1"/>
    <xf numFmtId="0" fontId="22" fillId="0" borderId="0" xfId="0" applyFont="1" applyFill="1"/>
    <xf numFmtId="164" fontId="22" fillId="0" borderId="0" xfId="0" applyNumberFormat="1" applyFont="1" applyAlignment="1">
      <alignment horizontal="center"/>
    </xf>
    <xf numFmtId="164" fontId="22" fillId="0" borderId="0" xfId="0" applyNumberFormat="1" applyFont="1" applyFill="1" applyAlignment="1">
      <alignment horizontal="center"/>
    </xf>
    <xf numFmtId="0" fontId="22" fillId="0" borderId="0" xfId="0" applyFont="1" applyAlignment="1">
      <alignment horizontal="center" wrapText="1"/>
    </xf>
    <xf numFmtId="43" fontId="22" fillId="0" borderId="11" xfId="0" applyNumberFormat="1" applyFont="1" applyBorder="1"/>
    <xf numFmtId="41" fontId="22" fillId="0" borderId="11" xfId="1" applyNumberFormat="1" applyFont="1" applyFill="1" applyBorder="1" applyAlignment="1">
      <alignment horizontal="right"/>
    </xf>
    <xf numFmtId="10" fontId="22" fillId="0" borderId="11" xfId="133" applyNumberFormat="1" applyFont="1" applyBorder="1" applyAlignment="1">
      <alignment horizontal="right" wrapText="1"/>
    </xf>
    <xf numFmtId="43" fontId="22" fillId="0" borderId="11" xfId="1" applyNumberFormat="1" applyFont="1" applyBorder="1"/>
    <xf numFmtId="43" fontId="22" fillId="24" borderId="11" xfId="0" applyNumberFormat="1" applyFont="1" applyFill="1" applyBorder="1"/>
    <xf numFmtId="10" fontId="22" fillId="24" borderId="11" xfId="133" applyNumberFormat="1" applyFont="1" applyFill="1" applyBorder="1" applyAlignment="1">
      <alignment horizontal="right" wrapText="1"/>
    </xf>
    <xf numFmtId="0" fontId="22" fillId="24" borderId="0" xfId="0" applyFont="1" applyFill="1" applyBorder="1"/>
    <xf numFmtId="0" fontId="22" fillId="24" borderId="0" xfId="0" applyFont="1" applyFill="1"/>
    <xf numFmtId="43" fontId="22" fillId="24" borderId="0" xfId="0" applyNumberFormat="1" applyFont="1" applyFill="1"/>
    <xf numFmtId="43" fontId="22" fillId="24" borderId="0" xfId="0" applyNumberFormat="1" applyFont="1" applyFill="1" applyAlignment="1">
      <alignment horizontal="right"/>
    </xf>
    <xf numFmtId="43" fontId="22" fillId="0" borderId="0" xfId="0" applyNumberFormat="1" applyFont="1" applyFill="1"/>
    <xf numFmtId="43" fontId="22" fillId="24" borderId="0" xfId="1" applyNumberFormat="1" applyFont="1" applyFill="1" applyAlignment="1">
      <alignment vertical="top"/>
    </xf>
    <xf numFmtId="0" fontId="22" fillId="0" borderId="0" xfId="0" applyFont="1" applyBorder="1"/>
    <xf numFmtId="10" fontId="22" fillId="24" borderId="0" xfId="133" applyNumberFormat="1" applyFont="1" applyFill="1" applyAlignment="1">
      <alignment horizontal="center" wrapText="1"/>
    </xf>
    <xf numFmtId="10" fontId="22" fillId="0" borderId="0" xfId="133" applyNumberFormat="1" applyFont="1" applyAlignment="1">
      <alignment horizontal="center" wrapText="1"/>
    </xf>
    <xf numFmtId="164" fontId="22" fillId="24" borderId="0" xfId="0" applyNumberFormat="1" applyFont="1" applyFill="1" applyAlignment="1">
      <alignment horizontal="center"/>
    </xf>
    <xf numFmtId="164" fontId="22" fillId="24" borderId="0" xfId="0" applyNumberFormat="1" applyFont="1" applyFill="1" applyAlignment="1">
      <alignment horizontal="center" wrapText="1"/>
    </xf>
    <xf numFmtId="164" fontId="22" fillId="24" borderId="0" xfId="133" applyNumberFormat="1" applyFont="1" applyFill="1" applyAlignment="1">
      <alignment horizontal="center" wrapText="1"/>
    </xf>
    <xf numFmtId="43" fontId="22" fillId="24" borderId="0" xfId="0" applyNumberFormat="1" applyFont="1" applyFill="1" applyBorder="1"/>
    <xf numFmtId="0" fontId="22" fillId="0" borderId="0" xfId="0" applyFont="1" applyAlignment="1">
      <alignment vertical="top"/>
    </xf>
    <xf numFmtId="10" fontId="22" fillId="0" borderId="11" xfId="133" applyNumberFormat="1" applyFont="1" applyBorder="1" applyAlignment="1">
      <alignment horizontal="center" wrapText="1"/>
    </xf>
    <xf numFmtId="0" fontId="22" fillId="0" borderId="11" xfId="0" applyFont="1" applyBorder="1" applyAlignment="1">
      <alignment horizontal="center" wrapText="1"/>
    </xf>
    <xf numFmtId="0" fontId="22" fillId="24" borderId="11" xfId="0" applyFont="1" applyFill="1" applyBorder="1" applyAlignment="1">
      <alignment horizontal="center" wrapText="1"/>
    </xf>
    <xf numFmtId="0" fontId="22" fillId="24" borderId="0" xfId="0" applyFont="1" applyFill="1" applyAlignment="1">
      <alignment horizontal="center" wrapText="1"/>
    </xf>
    <xf numFmtId="10" fontId="22" fillId="25" borderId="11" xfId="133" applyNumberFormat="1" applyFont="1" applyFill="1" applyBorder="1" applyAlignment="1">
      <alignment horizontal="center" wrapText="1"/>
    </xf>
    <xf numFmtId="43" fontId="22" fillId="25" borderId="11" xfId="0" applyNumberFormat="1" applyFont="1" applyFill="1" applyBorder="1" applyAlignment="1">
      <alignment horizontal="center" wrapText="1"/>
    </xf>
    <xf numFmtId="10" fontId="22" fillId="25" borderId="11" xfId="133" applyNumberFormat="1" applyFont="1" applyFill="1" applyBorder="1" applyAlignment="1">
      <alignment horizontal="right" wrapText="1"/>
    </xf>
    <xf numFmtId="43" fontId="22" fillId="25" borderId="11" xfId="0" applyNumberFormat="1" applyFont="1" applyFill="1" applyBorder="1"/>
    <xf numFmtId="41" fontId="22" fillId="25" borderId="11" xfId="1" applyNumberFormat="1" applyFont="1" applyFill="1" applyBorder="1" applyAlignment="1">
      <alignment horizontal="right"/>
    </xf>
    <xf numFmtId="0" fontId="22" fillId="25" borderId="0" xfId="0" applyFont="1" applyFill="1" applyBorder="1" applyAlignment="1">
      <alignment horizontal="center" wrapText="1"/>
    </xf>
    <xf numFmtId="165" fontId="22" fillId="0" borderId="0" xfId="1" applyNumberFormat="1" applyFont="1" applyFill="1" applyBorder="1" applyAlignment="1">
      <alignment horizontal="right"/>
    </xf>
    <xf numFmtId="165" fontId="22" fillId="0" borderId="0" xfId="0" applyNumberFormat="1" applyFont="1" applyFill="1"/>
    <xf numFmtId="0" fontId="22" fillId="24" borderId="0" xfId="0" applyFont="1" applyFill="1" applyBorder="1" applyAlignment="1">
      <alignment horizontal="center" wrapText="1"/>
    </xf>
    <xf numFmtId="41" fontId="22" fillId="24" borderId="0" xfId="0" applyNumberFormat="1" applyFont="1" applyFill="1" applyBorder="1" applyAlignment="1">
      <alignment horizontal="right"/>
    </xf>
    <xf numFmtId="10" fontId="22" fillId="24" borderId="0" xfId="133" applyNumberFormat="1" applyFont="1" applyFill="1" applyBorder="1" applyAlignment="1">
      <alignment horizontal="right" wrapText="1"/>
    </xf>
    <xf numFmtId="41" fontId="22" fillId="24" borderId="11" xfId="1" applyNumberFormat="1" applyFont="1" applyFill="1" applyBorder="1" applyAlignment="1">
      <alignment horizontal="right"/>
    </xf>
    <xf numFmtId="0" fontId="22" fillId="25" borderId="11" xfId="0" applyFont="1" applyFill="1" applyBorder="1" applyAlignment="1">
      <alignment horizontal="center" wrapText="1"/>
    </xf>
    <xf numFmtId="0" fontId="21" fillId="24" borderId="0" xfId="0" applyFont="1" applyFill="1" applyBorder="1" applyAlignment="1">
      <alignment horizontal="center" wrapText="1"/>
    </xf>
    <xf numFmtId="43" fontId="22" fillId="0" borderId="0" xfId="1" applyFont="1" applyFill="1" applyAlignment="1">
      <alignment vertical="top"/>
    </xf>
    <xf numFmtId="43" fontId="22" fillId="0" borderId="0" xfId="0" applyNumberFormat="1" applyFont="1" applyBorder="1"/>
    <xf numFmtId="0" fontId="23" fillId="25" borderId="11" xfId="0" applyFont="1" applyFill="1" applyBorder="1" applyAlignment="1">
      <alignment horizontal="center" wrapText="1"/>
    </xf>
    <xf numFmtId="10" fontId="23" fillId="25" borderId="11" xfId="133" applyNumberFormat="1" applyFont="1" applyFill="1" applyBorder="1" applyAlignment="1">
      <alignment horizontal="center" wrapText="1"/>
    </xf>
    <xf numFmtId="43" fontId="23" fillId="25" borderId="11" xfId="0" applyNumberFormat="1" applyFont="1" applyFill="1" applyBorder="1" applyAlignment="1">
      <alignment horizontal="center" wrapText="1"/>
    </xf>
    <xf numFmtId="42" fontId="23" fillId="0" borderId="11" xfId="0" applyNumberFormat="1" applyFont="1" applyBorder="1" applyAlignment="1">
      <alignment horizontal="right"/>
    </xf>
    <xf numFmtId="41" fontId="23" fillId="25" borderId="11" xfId="0" applyNumberFormat="1" applyFont="1" applyFill="1" applyBorder="1" applyAlignment="1">
      <alignment horizontal="right"/>
    </xf>
    <xf numFmtId="41" fontId="23" fillId="0" borderId="11" xfId="0" applyNumberFormat="1" applyFont="1" applyBorder="1" applyAlignment="1">
      <alignment horizontal="right"/>
    </xf>
    <xf numFmtId="41" fontId="23" fillId="0" borderId="11" xfId="0" applyNumberFormat="1" applyFont="1" applyFill="1" applyBorder="1" applyAlignment="1">
      <alignment horizontal="right"/>
    </xf>
    <xf numFmtId="41" fontId="23" fillId="0" borderId="11" xfId="1" applyNumberFormat="1" applyFont="1" applyBorder="1" applyAlignment="1">
      <alignment horizontal="right"/>
    </xf>
    <xf numFmtId="41" fontId="23" fillId="24" borderId="11" xfId="0" applyNumberFormat="1" applyFont="1" applyFill="1" applyBorder="1" applyAlignment="1">
      <alignment horizontal="right"/>
    </xf>
    <xf numFmtId="164" fontId="22" fillId="24" borderId="0" xfId="0" applyNumberFormat="1" applyFont="1" applyFill="1" applyBorder="1" applyAlignment="1">
      <alignment horizontal="center"/>
    </xf>
    <xf numFmtId="43" fontId="22" fillId="25" borderId="12" xfId="0" applyNumberFormat="1" applyFont="1" applyFill="1" applyBorder="1" applyAlignment="1">
      <alignment horizontal="center" wrapText="1"/>
    </xf>
    <xf numFmtId="43" fontId="22" fillId="0" borderId="12" xfId="0" applyNumberFormat="1" applyFont="1" applyBorder="1"/>
    <xf numFmtId="43" fontId="22" fillId="24" borderId="12" xfId="0" applyNumberFormat="1" applyFont="1" applyFill="1" applyBorder="1"/>
    <xf numFmtId="41" fontId="23" fillId="24" borderId="0" xfId="0" applyNumberFormat="1" applyFont="1" applyFill="1" applyBorder="1" applyAlignment="1">
      <alignment horizontal="right"/>
    </xf>
    <xf numFmtId="43" fontId="23" fillId="24" borderId="0" xfId="0" applyNumberFormat="1" applyFont="1" applyFill="1" applyBorder="1" applyAlignment="1">
      <alignment horizontal="center" wrapText="1"/>
    </xf>
    <xf numFmtId="42" fontId="23" fillId="24" borderId="0" xfId="0" applyNumberFormat="1" applyFont="1" applyFill="1" applyBorder="1" applyAlignment="1">
      <alignment horizontal="right"/>
    </xf>
    <xf numFmtId="41" fontId="23" fillId="24" borderId="0" xfId="1" applyNumberFormat="1" applyFont="1" applyFill="1" applyBorder="1" applyAlignment="1">
      <alignment horizontal="right"/>
    </xf>
    <xf numFmtId="43" fontId="27" fillId="24" borderId="0" xfId="0" applyNumberFormat="1" applyFont="1" applyFill="1" applyAlignment="1">
      <alignment horizontal="right" vertical="top" textRotation="180"/>
    </xf>
    <xf numFmtId="0" fontId="24" fillId="24" borderId="0" xfId="0" applyFont="1" applyFill="1" applyAlignment="1">
      <alignment textRotation="180"/>
    </xf>
    <xf numFmtId="0" fontId="25" fillId="24" borderId="0" xfId="0" applyFont="1" applyFill="1" applyBorder="1"/>
    <xf numFmtId="43" fontId="27" fillId="24" borderId="0" xfId="0" applyNumberFormat="1" applyFont="1" applyFill="1" applyBorder="1" applyAlignment="1">
      <alignment vertical="top" textRotation="180"/>
    </xf>
    <xf numFmtId="41" fontId="23" fillId="24" borderId="13" xfId="0" applyNumberFormat="1" applyFont="1" applyFill="1" applyBorder="1" applyAlignment="1">
      <alignment horizontal="right"/>
    </xf>
    <xf numFmtId="10" fontId="22" fillId="24" borderId="13" xfId="133" applyNumberFormat="1" applyFont="1" applyFill="1" applyBorder="1" applyAlignment="1">
      <alignment horizontal="right" wrapText="1"/>
    </xf>
    <xf numFmtId="0" fontId="22" fillId="24" borderId="13" xfId="0" applyFont="1" applyFill="1" applyBorder="1" applyAlignment="1">
      <alignment horizontal="center" wrapText="1"/>
    </xf>
    <xf numFmtId="0" fontId="25" fillId="24" borderId="0" xfId="0" applyFont="1" applyFill="1"/>
    <xf numFmtId="0" fontId="28" fillId="24" borderId="0" xfId="0" applyFont="1" applyFill="1" applyAlignment="1">
      <alignment horizontal="left" vertical="top"/>
    </xf>
    <xf numFmtId="0" fontId="26" fillId="24" borderId="0" xfId="0" applyFont="1" applyFill="1"/>
    <xf numFmtId="10" fontId="25" fillId="24" borderId="0" xfId="133" applyNumberFormat="1" applyFont="1" applyFill="1" applyAlignment="1">
      <alignment horizontal="center" wrapText="1"/>
    </xf>
    <xf numFmtId="0" fontId="25" fillId="24" borderId="0" xfId="0" applyFont="1" applyFill="1" applyAlignment="1">
      <alignment horizontal="center" wrapText="1"/>
    </xf>
    <xf numFmtId="43" fontId="25" fillId="24" borderId="0" xfId="0" applyNumberFormat="1" applyFont="1" applyFill="1"/>
    <xf numFmtId="41" fontId="25" fillId="24" borderId="0" xfId="0" applyNumberFormat="1" applyFont="1" applyFill="1" applyAlignment="1">
      <alignment vertical="top"/>
    </xf>
    <xf numFmtId="0" fontId="25" fillId="24" borderId="0" xfId="0" applyFont="1" applyFill="1" applyAlignment="1">
      <alignment vertical="top"/>
    </xf>
    <xf numFmtId="0" fontId="25" fillId="24" borderId="0" xfId="0" applyFont="1" applyFill="1" applyBorder="1" applyAlignment="1">
      <alignment vertical="top"/>
    </xf>
    <xf numFmtId="10" fontId="25" fillId="24" borderId="0" xfId="133" applyNumberFormat="1" applyFont="1" applyFill="1" applyAlignment="1">
      <alignment horizontal="center" vertical="top" wrapText="1"/>
    </xf>
    <xf numFmtId="0" fontId="25" fillId="24" borderId="0" xfId="0" applyFont="1" applyFill="1" applyAlignment="1">
      <alignment horizontal="center" vertical="top" wrapText="1"/>
    </xf>
    <xf numFmtId="43" fontId="25" fillId="24" borderId="0" xfId="0" applyNumberFormat="1" applyFont="1" applyFill="1" applyAlignment="1">
      <alignment vertical="top"/>
    </xf>
    <xf numFmtId="164" fontId="29" fillId="24" borderId="0" xfId="0" applyNumberFormat="1" applyFont="1" applyFill="1" applyAlignment="1">
      <alignment horizontal="center"/>
    </xf>
    <xf numFmtId="0" fontId="29" fillId="25" borderId="11" xfId="0" applyFont="1" applyFill="1" applyBorder="1" applyAlignment="1">
      <alignment horizontal="center" wrapText="1"/>
    </xf>
    <xf numFmtId="42" fontId="29" fillId="26" borderId="11" xfId="0" applyNumberFormat="1" applyFont="1" applyFill="1" applyBorder="1" applyAlignment="1">
      <alignment horizontal="right" wrapText="1"/>
    </xf>
    <xf numFmtId="41" fontId="29" fillId="25" borderId="11" xfId="0" applyNumberFormat="1" applyFont="1" applyFill="1" applyBorder="1" applyAlignment="1">
      <alignment horizontal="right" wrapText="1"/>
    </xf>
    <xf numFmtId="41" fontId="29" fillId="0" borderId="11" xfId="0" applyNumberFormat="1" applyFont="1" applyBorder="1" applyAlignment="1">
      <alignment horizontal="right"/>
    </xf>
    <xf numFmtId="41" fontId="29" fillId="25" borderId="11" xfId="0" applyNumberFormat="1" applyFont="1" applyFill="1" applyBorder="1" applyAlignment="1">
      <alignment horizontal="right"/>
    </xf>
    <xf numFmtId="41" fontId="29" fillId="0" borderId="11" xfId="1" applyNumberFormat="1" applyFont="1" applyBorder="1" applyAlignment="1">
      <alignment horizontal="right"/>
    </xf>
    <xf numFmtId="41" fontId="29" fillId="24" borderId="11" xfId="0" applyNumberFormat="1" applyFont="1" applyFill="1" applyBorder="1" applyAlignment="1">
      <alignment horizontal="right"/>
    </xf>
    <xf numFmtId="41" fontId="29" fillId="26" borderId="11" xfId="0" applyNumberFormat="1" applyFont="1" applyFill="1" applyBorder="1" applyAlignment="1">
      <alignment horizontal="right" wrapText="1"/>
    </xf>
    <xf numFmtId="41" fontId="29" fillId="24" borderId="13" xfId="0" applyNumberFormat="1" applyFont="1" applyFill="1" applyBorder="1" applyAlignment="1">
      <alignment horizontal="right"/>
    </xf>
    <xf numFmtId="41" fontId="29" fillId="24" borderId="0" xfId="0" applyNumberFormat="1" applyFont="1" applyFill="1" applyBorder="1" applyAlignment="1">
      <alignment horizontal="right"/>
    </xf>
    <xf numFmtId="0" fontId="30" fillId="24" borderId="0" xfId="0" applyFont="1" applyFill="1"/>
    <xf numFmtId="0" fontId="29" fillId="24" borderId="0" xfId="0" applyFont="1" applyFill="1"/>
    <xf numFmtId="0" fontId="29" fillId="24" borderId="0" xfId="0" applyFont="1" applyFill="1" applyAlignment="1">
      <alignment vertical="top"/>
    </xf>
    <xf numFmtId="0" fontId="29" fillId="0" borderId="0" xfId="0" applyFont="1"/>
    <xf numFmtId="42" fontId="29" fillId="27" borderId="11" xfId="0" applyNumberFormat="1" applyFont="1" applyFill="1" applyBorder="1" applyAlignment="1">
      <alignment horizontal="right" wrapText="1"/>
    </xf>
    <xf numFmtId="41" fontId="23" fillId="25" borderId="14" xfId="0" applyNumberFormat="1" applyFont="1" applyFill="1" applyBorder="1" applyAlignment="1">
      <alignment horizontal="right"/>
    </xf>
    <xf numFmtId="42" fontId="29" fillId="25" borderId="11" xfId="0" applyNumberFormat="1" applyFont="1" applyFill="1" applyBorder="1" applyAlignment="1">
      <alignment horizontal="right" wrapText="1"/>
    </xf>
    <xf numFmtId="10" fontId="23" fillId="25" borderId="14" xfId="133" applyNumberFormat="1" applyFont="1" applyFill="1" applyBorder="1" applyAlignment="1">
      <alignment horizontal="right" wrapText="1"/>
    </xf>
    <xf numFmtId="0" fontId="23" fillId="25" borderId="14" xfId="0" applyFont="1" applyFill="1" applyBorder="1" applyAlignment="1">
      <alignment horizontal="center" wrapText="1"/>
    </xf>
    <xf numFmtId="41" fontId="22" fillId="24" borderId="0" xfId="0" applyNumberFormat="1" applyFont="1" applyFill="1"/>
    <xf numFmtId="165" fontId="22" fillId="24" borderId="0" xfId="0" applyNumberFormat="1" applyFont="1" applyFill="1"/>
    <xf numFmtId="165" fontId="22" fillId="24" borderId="0" xfId="0" applyNumberFormat="1" applyFont="1" applyFill="1" applyAlignment="1">
      <alignment vertical="top"/>
    </xf>
    <xf numFmtId="0" fontId="22" fillId="24" borderId="0" xfId="0" applyFont="1" applyFill="1" applyAlignment="1">
      <alignment vertical="top"/>
    </xf>
    <xf numFmtId="41" fontId="23" fillId="25" borderId="11" xfId="0" applyNumberFormat="1" applyFont="1" applyFill="1" applyBorder="1" applyAlignment="1">
      <alignment horizontal="center" wrapText="1"/>
    </xf>
    <xf numFmtId="0" fontId="26" fillId="25" borderId="11" xfId="0" applyFont="1" applyFill="1" applyBorder="1" applyAlignment="1">
      <alignment horizontal="left" wrapText="1"/>
    </xf>
    <xf numFmtId="0" fontId="26" fillId="25" borderId="14" xfId="0" applyFont="1" applyFill="1" applyBorder="1" applyAlignment="1">
      <alignment horizontal="left" wrapText="1"/>
    </xf>
    <xf numFmtId="0" fontId="26" fillId="24" borderId="0" xfId="0" applyFont="1" applyFill="1" applyAlignment="1">
      <alignment horizontal="left" vertical="top" wrapText="1"/>
    </xf>
    <xf numFmtId="0" fontId="26" fillId="24" borderId="11" xfId="0" applyFont="1" applyFill="1" applyBorder="1" applyAlignment="1">
      <alignment horizontal="left" wrapText="1"/>
    </xf>
    <xf numFmtId="0" fontId="26" fillId="24" borderId="13" xfId="0" applyFont="1" applyFill="1" applyBorder="1" applyAlignment="1">
      <alignment horizontal="left" wrapText="1"/>
    </xf>
    <xf numFmtId="0" fontId="26" fillId="24" borderId="0" xfId="0" applyNumberFormat="1" applyFont="1" applyFill="1" applyAlignment="1">
      <alignment horizontal="left" vertical="top" wrapText="1"/>
    </xf>
    <xf numFmtId="0" fontId="26" fillId="24" borderId="0" xfId="0" applyFont="1" applyFill="1" applyAlignment="1">
      <alignment horizontal="left" vertical="top"/>
    </xf>
    <xf numFmtId="164" fontId="22" fillId="0" borderId="10" xfId="0" applyNumberFormat="1" applyFont="1" applyBorder="1" applyAlignment="1">
      <alignment horizontal="center"/>
    </xf>
    <xf numFmtId="0" fontId="25" fillId="25" borderId="11" xfId="0" applyFont="1" applyFill="1" applyBorder="1" applyAlignment="1">
      <alignment horizontal="center" wrapText="1"/>
    </xf>
    <xf numFmtId="0" fontId="26" fillId="0" borderId="11" xfId="0" applyFont="1" applyFill="1" applyBorder="1" applyAlignment="1">
      <alignment horizontal="left" wrapText="1"/>
    </xf>
    <xf numFmtId="43" fontId="27" fillId="24" borderId="0" xfId="0" applyNumberFormat="1" applyFont="1" applyFill="1" applyBorder="1" applyAlignment="1">
      <alignment horizontal="right" vertical="top" textRotation="180"/>
    </xf>
    <xf numFmtId="164" fontId="22" fillId="24" borderId="0" xfId="0" applyNumberFormat="1" applyFont="1" applyFill="1" applyBorder="1" applyAlignment="1">
      <alignment horizontal="center"/>
    </xf>
  </cellXfs>
  <cellStyles count="134">
    <cellStyle name="20% - Accent1 2" xfId="3"/>
    <cellStyle name="20% - Accent1 3" xfId="46"/>
    <cellStyle name="20% - Accent1 4" xfId="79"/>
    <cellStyle name="20% - Accent2 2" xfId="4"/>
    <cellStyle name="20% - Accent2 3" xfId="47"/>
    <cellStyle name="20% - Accent2 4" xfId="91"/>
    <cellStyle name="20% - Accent3 2" xfId="5"/>
    <cellStyle name="20% - Accent3 3" xfId="48"/>
    <cellStyle name="20% - Accent3 4" xfId="92"/>
    <cellStyle name="20% - Accent4 2" xfId="6"/>
    <cellStyle name="20% - Accent4 3" xfId="49"/>
    <cellStyle name="20% - Accent4 4" xfId="93"/>
    <cellStyle name="20% - Accent5 2" xfId="7"/>
    <cellStyle name="20% - Accent5 3" xfId="50"/>
    <cellStyle name="20% - Accent5 4" xfId="94"/>
    <cellStyle name="20% - Accent6 2" xfId="8"/>
    <cellStyle name="20% - Accent6 3" xfId="51"/>
    <cellStyle name="20% - Accent6 4" xfId="95"/>
    <cellStyle name="40% - Accent1 2" xfId="9"/>
    <cellStyle name="40% - Accent1 3" xfId="52"/>
    <cellStyle name="40% - Accent1 4" xfId="96"/>
    <cellStyle name="40% - Accent2 2" xfId="10"/>
    <cellStyle name="40% - Accent2 3" xfId="53"/>
    <cellStyle name="40% - Accent2 4" xfId="97"/>
    <cellStyle name="40% - Accent3 2" xfId="11"/>
    <cellStyle name="40% - Accent3 3" xfId="54"/>
    <cellStyle name="40% - Accent3 4" xfId="98"/>
    <cellStyle name="40% - Accent4 2" xfId="12"/>
    <cellStyle name="40% - Accent4 3" xfId="55"/>
    <cellStyle name="40% - Accent4 4" xfId="99"/>
    <cellStyle name="40% - Accent5 2" xfId="13"/>
    <cellStyle name="40% - Accent5 3" xfId="56"/>
    <cellStyle name="40% - Accent5 4" xfId="100"/>
    <cellStyle name="40% - Accent6 2" xfId="14"/>
    <cellStyle name="40% - Accent6 3" xfId="57"/>
    <cellStyle name="40% - Accent6 4" xfId="101"/>
    <cellStyle name="60% - Accent1 2" xfId="15"/>
    <cellStyle name="60% - Accent1 3" xfId="58"/>
    <cellStyle name="60% - Accent1 4" xfId="102"/>
    <cellStyle name="60% - Accent2 2" xfId="16"/>
    <cellStyle name="60% - Accent2 3" xfId="59"/>
    <cellStyle name="60% - Accent2 4" xfId="103"/>
    <cellStyle name="60% - Accent3 2" xfId="17"/>
    <cellStyle name="60% - Accent3 3" xfId="60"/>
    <cellStyle name="60% - Accent3 4" xfId="104"/>
    <cellStyle name="60% - Accent4 2" xfId="18"/>
    <cellStyle name="60% - Accent4 3" xfId="61"/>
    <cellStyle name="60% - Accent4 4" xfId="105"/>
    <cellStyle name="60% - Accent5 2" xfId="19"/>
    <cellStyle name="60% - Accent5 3" xfId="62"/>
    <cellStyle name="60% - Accent5 4" xfId="106"/>
    <cellStyle name="60% - Accent6 2" xfId="20"/>
    <cellStyle name="60% - Accent6 3" xfId="63"/>
    <cellStyle name="60% - Accent6 4" xfId="107"/>
    <cellStyle name="Accent1 2" xfId="21"/>
    <cellStyle name="Accent1 3" xfId="64"/>
    <cellStyle name="Accent1 4" xfId="108"/>
    <cellStyle name="Accent2 2" xfId="22"/>
    <cellStyle name="Accent2 3" xfId="65"/>
    <cellStyle name="Accent2 4" xfId="109"/>
    <cellStyle name="Accent3 2" xfId="23"/>
    <cellStyle name="Accent3 3" xfId="66"/>
    <cellStyle name="Accent3 4" xfId="110"/>
    <cellStyle name="Accent4 2" xfId="24"/>
    <cellStyle name="Accent4 3" xfId="67"/>
    <cellStyle name="Accent4 4" xfId="111"/>
    <cellStyle name="Accent5 2" xfId="25"/>
    <cellStyle name="Accent5 3" xfId="68"/>
    <cellStyle name="Accent5 4" xfId="112"/>
    <cellStyle name="Accent6 2" xfId="26"/>
    <cellStyle name="Accent6 3" xfId="69"/>
    <cellStyle name="Accent6 4" xfId="113"/>
    <cellStyle name="Bad 2" xfId="27"/>
    <cellStyle name="Bad 3" xfId="70"/>
    <cellStyle name="Bad 4" xfId="114"/>
    <cellStyle name="Calculation 2" xfId="28"/>
    <cellStyle name="Calculation 3" xfId="71"/>
    <cellStyle name="Calculation 4" xfId="115"/>
    <cellStyle name="Check Cell 2" xfId="29"/>
    <cellStyle name="Check Cell 3" xfId="72"/>
    <cellStyle name="Check Cell 4" xfId="116"/>
    <cellStyle name="Comma" xfId="1" builtinId="3"/>
    <cellStyle name="Comma 2" xfId="30"/>
    <cellStyle name="Comma 2 2" xfId="89"/>
    <cellStyle name="Comma 2 3" xfId="131"/>
    <cellStyle name="Explanatory Text 2" xfId="31"/>
    <cellStyle name="Explanatory Text 3" xfId="73"/>
    <cellStyle name="Explanatory Text 4" xfId="117"/>
    <cellStyle name="Good 2" xfId="32"/>
    <cellStyle name="Good 3" xfId="74"/>
    <cellStyle name="Good 4" xfId="118"/>
    <cellStyle name="Heading 1 2" xfId="33"/>
    <cellStyle name="Heading 1 3" xfId="75"/>
    <cellStyle name="Heading 1 4" xfId="119"/>
    <cellStyle name="Heading 2 2" xfId="34"/>
    <cellStyle name="Heading 2 3" xfId="76"/>
    <cellStyle name="Heading 2 4" xfId="120"/>
    <cellStyle name="Heading 3 2" xfId="35"/>
    <cellStyle name="Heading 3 3" xfId="77"/>
    <cellStyle name="Heading 3 4" xfId="121"/>
    <cellStyle name="Heading 4 2" xfId="36"/>
    <cellStyle name="Heading 4 3" xfId="78"/>
    <cellStyle name="Heading 4 4" xfId="122"/>
    <cellStyle name="Input 2" xfId="37"/>
    <cellStyle name="Input 3" xfId="80"/>
    <cellStyle name="Input 4" xfId="123"/>
    <cellStyle name="Linked Cell 2" xfId="38"/>
    <cellStyle name="Linked Cell 3" xfId="81"/>
    <cellStyle name="Linked Cell 4" xfId="124"/>
    <cellStyle name="Neutral 2" xfId="39"/>
    <cellStyle name="Neutral 3" xfId="82"/>
    <cellStyle name="Neutral 4" xfId="125"/>
    <cellStyle name="Normal" xfId="0" builtinId="0"/>
    <cellStyle name="Normal 2" xfId="2"/>
    <cellStyle name="Normal 4" xfId="83"/>
    <cellStyle name="Note 2" xfId="40"/>
    <cellStyle name="Note 3" xfId="84"/>
    <cellStyle name="Note 4" xfId="126"/>
    <cellStyle name="Output 2" xfId="41"/>
    <cellStyle name="Output 3" xfId="85"/>
    <cellStyle name="Output 4" xfId="127"/>
    <cellStyle name="Percent" xfId="133" builtinId="5"/>
    <cellStyle name="Percent 2" xfId="42"/>
    <cellStyle name="Percent 2 2" xfId="90"/>
    <cellStyle name="Percent 2 3" xfId="132"/>
    <cellStyle name="Title 2" xfId="43"/>
    <cellStyle name="Title 3" xfId="86"/>
    <cellStyle name="Title 4" xfId="128"/>
    <cellStyle name="Total 2" xfId="44"/>
    <cellStyle name="Total 3" xfId="87"/>
    <cellStyle name="Total 4" xfId="129"/>
    <cellStyle name="Warning Text 2" xfId="45"/>
    <cellStyle name="Warning Text 3" xfId="88"/>
    <cellStyle name="Warning Text 4" xfId="1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57"/>
  <sheetViews>
    <sheetView tabSelected="1" view="pageBreakPreview" zoomScale="40" zoomScaleNormal="75" zoomScaleSheetLayoutView="40" workbookViewId="0">
      <pane xSplit="7" ySplit="2" topLeftCell="H3" activePane="bottomRight" state="frozen"/>
      <selection pane="topRight" activeCell="H1" sqref="H1"/>
      <selection pane="bottomLeft" activeCell="A3" sqref="A3"/>
      <selection pane="bottomRight" activeCell="AS45" sqref="AS45"/>
    </sheetView>
  </sheetViews>
  <sheetFormatPr defaultRowHeight="15" outlineLevelCol="1"/>
  <cols>
    <col min="1" max="1" width="4" style="1" bestFit="1" customWidth="1"/>
    <col min="2" max="2" width="6.5703125" style="14" customWidth="1"/>
    <col min="3" max="3" width="4.42578125" style="1" customWidth="1"/>
    <col min="4" max="4" width="4" style="1" customWidth="1"/>
    <col min="5" max="5" width="33.28515625" style="19" customWidth="1"/>
    <col min="6" max="6" width="19.28515625" style="1" customWidth="1"/>
    <col min="7" max="7" width="19.28515625" style="97" hidden="1" customWidth="1" outlineLevel="1"/>
    <col min="8" max="8" width="16.85546875" style="21" customWidth="1" collapsed="1"/>
    <col min="9" max="9" width="16.85546875" style="21" customWidth="1"/>
    <col min="10" max="10" width="16.85546875" style="6" customWidth="1"/>
    <col min="11" max="11" width="18.5703125" style="2" customWidth="1"/>
    <col min="12" max="12" width="17.5703125" style="2" customWidth="1"/>
    <col min="13" max="13" width="17" style="2" customWidth="1"/>
    <col min="14" max="14" width="14.85546875" style="2" customWidth="1"/>
    <col min="15" max="15" width="16.42578125" style="2" customWidth="1"/>
    <col min="16" max="16" width="17.28515625" style="2" customWidth="1"/>
    <col min="17" max="17" width="21.85546875" style="2" customWidth="1"/>
    <col min="18" max="18" width="15.42578125" style="2" customWidth="1"/>
    <col min="19" max="19" width="16" style="2" customWidth="1"/>
    <col min="20" max="20" width="17.85546875" style="2" customWidth="1"/>
    <col min="21" max="21" width="20.140625" style="2" customWidth="1"/>
    <col min="22" max="22" width="18.140625" style="2" customWidth="1"/>
    <col min="23" max="23" width="12.5703125" style="46" customWidth="1"/>
    <col min="24" max="25" width="19.140625" style="2" hidden="1" customWidth="1" collapsed="1"/>
    <col min="26" max="26" width="12.5703125" style="3" hidden="1" customWidth="1"/>
    <col min="27" max="27" width="19.42578125" style="3" hidden="1" customWidth="1"/>
    <col min="28" max="28" width="18.28515625" style="3" hidden="1" customWidth="1"/>
    <col min="29" max="29" width="16.140625" style="1" hidden="1" customWidth="1"/>
    <col min="30" max="43" width="0" style="1" hidden="1" customWidth="1"/>
    <col min="44" max="16384" width="9.140625" style="1"/>
  </cols>
  <sheetData>
    <row r="1" spans="1:29" s="4" customFormat="1">
      <c r="B1" s="22"/>
      <c r="C1" s="119">
        <v>-1</v>
      </c>
      <c r="D1" s="119"/>
      <c r="E1" s="119"/>
      <c r="F1" s="22">
        <v>-2</v>
      </c>
      <c r="G1" s="83"/>
      <c r="H1" s="24">
        <v>-3</v>
      </c>
      <c r="I1" s="24">
        <v>-4</v>
      </c>
      <c r="J1" s="23">
        <v>-5</v>
      </c>
      <c r="K1" s="22">
        <v>-6</v>
      </c>
      <c r="L1" s="22">
        <v>-7</v>
      </c>
      <c r="M1" s="22">
        <v>-8</v>
      </c>
      <c r="N1" s="22">
        <v>-9</v>
      </c>
      <c r="O1" s="22">
        <v>-10</v>
      </c>
      <c r="P1" s="22">
        <v>-11</v>
      </c>
      <c r="Q1" s="22">
        <v>-12</v>
      </c>
      <c r="R1" s="22">
        <v>-13</v>
      </c>
      <c r="S1" s="22">
        <v>-14</v>
      </c>
      <c r="T1" s="22">
        <v>-15</v>
      </c>
      <c r="U1" s="4">
        <v>-16</v>
      </c>
      <c r="V1" s="22">
        <v>-17</v>
      </c>
      <c r="W1" s="56"/>
      <c r="X1" s="115" t="s">
        <v>38</v>
      </c>
      <c r="Y1" s="115"/>
      <c r="Z1" s="5"/>
      <c r="AA1" s="5"/>
      <c r="AB1" s="5"/>
    </row>
    <row r="2" spans="1:29" s="6" customFormat="1" ht="69" customHeight="1">
      <c r="B2" s="30"/>
      <c r="C2" s="116" t="s">
        <v>0</v>
      </c>
      <c r="D2" s="116"/>
      <c r="E2" s="116"/>
      <c r="F2" s="47" t="s">
        <v>68</v>
      </c>
      <c r="G2" s="84"/>
      <c r="H2" s="48" t="s">
        <v>1</v>
      </c>
      <c r="I2" s="48" t="s">
        <v>2</v>
      </c>
      <c r="J2" s="47" t="s">
        <v>33</v>
      </c>
      <c r="K2" s="49" t="s">
        <v>3</v>
      </c>
      <c r="L2" s="49" t="s">
        <v>4</v>
      </c>
      <c r="M2" s="49" t="s">
        <v>5</v>
      </c>
      <c r="N2" s="49" t="s">
        <v>58</v>
      </c>
      <c r="O2" s="49" t="s">
        <v>40</v>
      </c>
      <c r="P2" s="49" t="s">
        <v>6</v>
      </c>
      <c r="Q2" s="49" t="s">
        <v>35</v>
      </c>
      <c r="R2" s="49" t="s">
        <v>69</v>
      </c>
      <c r="S2" s="49" t="s">
        <v>7</v>
      </c>
      <c r="T2" s="49" t="s">
        <v>8</v>
      </c>
      <c r="U2" s="47" t="s">
        <v>78</v>
      </c>
      <c r="V2" s="49" t="s">
        <v>9</v>
      </c>
      <c r="W2" s="61"/>
      <c r="X2" s="57" t="s">
        <v>36</v>
      </c>
      <c r="Y2" s="32" t="s">
        <v>37</v>
      </c>
      <c r="Z2" s="43"/>
      <c r="AA2" s="36"/>
      <c r="AB2" s="36"/>
    </row>
    <row r="3" spans="1:29" ht="31.5" customHeight="1">
      <c r="A3" s="1">
        <v>1</v>
      </c>
      <c r="C3" s="117" t="s">
        <v>10</v>
      </c>
      <c r="D3" s="117"/>
      <c r="E3" s="117"/>
      <c r="F3" s="50">
        <v>469949.47</v>
      </c>
      <c r="G3" s="85" t="str">
        <f>"cap $450,207 + DSH Add-on $19,742.47"</f>
        <v>cap $450,207 + DSH Add-on $19,742.47</v>
      </c>
      <c r="H3" s="27" t="s">
        <v>52</v>
      </c>
      <c r="I3" s="27" t="s">
        <v>52</v>
      </c>
      <c r="J3" s="28" t="s">
        <v>28</v>
      </c>
      <c r="K3" s="50">
        <v>1719481.37</v>
      </c>
      <c r="L3" s="50">
        <v>0</v>
      </c>
      <c r="M3" s="50">
        <v>0</v>
      </c>
      <c r="N3" s="50">
        <v>0</v>
      </c>
      <c r="O3" s="50">
        <v>1719481.37</v>
      </c>
      <c r="P3" s="50">
        <v>1801147.0035035305</v>
      </c>
      <c r="Q3" s="50">
        <v>81665.633503530407</v>
      </c>
      <c r="R3" s="50">
        <v>60244.58</v>
      </c>
      <c r="S3" s="50">
        <v>480505.9252851865</v>
      </c>
      <c r="T3" s="50">
        <v>420261.34528518649</v>
      </c>
      <c r="U3" s="50">
        <v>501926.97878871689</v>
      </c>
      <c r="V3" s="50">
        <v>469950.47</v>
      </c>
      <c r="W3" s="62"/>
      <c r="X3" s="58">
        <f>V3</f>
        <v>469950.47</v>
      </c>
      <c r="Y3" s="7"/>
      <c r="Z3" s="8">
        <f t="shared" ref="Z3:Z36" si="0">IF(U3-V3&gt;0,,1)</f>
        <v>0</v>
      </c>
      <c r="AA3" s="37"/>
      <c r="AB3" s="37">
        <f>IF(AA3=0,U3-V3,0)</f>
        <v>31976.508788716921</v>
      </c>
      <c r="AC3" s="1" t="s">
        <v>66</v>
      </c>
    </row>
    <row r="4" spans="1:29" ht="30.75">
      <c r="A4" s="1">
        <v>2</v>
      </c>
      <c r="C4" s="108" t="s">
        <v>11</v>
      </c>
      <c r="D4" s="108"/>
      <c r="E4" s="108"/>
      <c r="F4" s="51">
        <v>20650.955425851735</v>
      </c>
      <c r="G4" s="86" t="str">
        <f>"amt paid "&amp;V4</f>
        <v>amt paid 20650.96</v>
      </c>
      <c r="H4" s="33">
        <v>0.16145905024088095</v>
      </c>
      <c r="I4" s="33">
        <v>0.12597506440910086</v>
      </c>
      <c r="J4" s="43" t="s">
        <v>30</v>
      </c>
      <c r="K4" s="51">
        <v>6832050.2300000004</v>
      </c>
      <c r="L4" s="51">
        <v>477335.89</v>
      </c>
      <c r="M4" s="51">
        <v>0</v>
      </c>
      <c r="N4" s="51">
        <v>551.58468180503712</v>
      </c>
      <c r="O4" s="51">
        <v>7309937.7046818053</v>
      </c>
      <c r="P4" s="51">
        <v>6109119.6701906733</v>
      </c>
      <c r="Q4" s="51">
        <v>-1200818.034491132</v>
      </c>
      <c r="R4" s="51">
        <v>1029027.24</v>
      </c>
      <c r="S4" s="51">
        <v>2067398.8358158828</v>
      </c>
      <c r="T4" s="51">
        <v>1038371.5958158828</v>
      </c>
      <c r="U4" s="51">
        <v>-162446.43867524923</v>
      </c>
      <c r="V4" s="51">
        <v>20650.96</v>
      </c>
      <c r="W4" s="60"/>
      <c r="X4" s="58">
        <f t="shared" ref="X4:X35" si="1">V4</f>
        <v>20650.96</v>
      </c>
      <c r="Y4" s="34"/>
      <c r="Z4" s="35">
        <f t="shared" si="0"/>
        <v>1</v>
      </c>
      <c r="AA4" s="37">
        <f>IF(Z4=1,(IF(U4&lt;0,V4,V4-U4)),0)</f>
        <v>20650.96</v>
      </c>
      <c r="AB4" s="37">
        <f>IF(AA4=0,U4-V4,0)</f>
        <v>0</v>
      </c>
    </row>
    <row r="5" spans="1:29" ht="30.75">
      <c r="A5" s="1">
        <v>3</v>
      </c>
      <c r="C5" s="117" t="s">
        <v>41</v>
      </c>
      <c r="D5" s="117"/>
      <c r="E5" s="117"/>
      <c r="F5" s="52">
        <v>25994.876862745099</v>
      </c>
      <c r="G5" s="87" t="str">
        <f t="shared" ref="G5:G6" si="2">"amt paid "&amp;V5</f>
        <v>amt paid 25994.88</v>
      </c>
      <c r="H5" s="9">
        <v>0.17659085100945565</v>
      </c>
      <c r="I5" s="9">
        <v>0.14354657113834807</v>
      </c>
      <c r="J5" s="28" t="s">
        <v>30</v>
      </c>
      <c r="K5" s="52">
        <v>2985998.81</v>
      </c>
      <c r="L5" s="52">
        <v>0</v>
      </c>
      <c r="M5" s="52">
        <v>0</v>
      </c>
      <c r="N5" s="52">
        <v>-3168.1444925908409</v>
      </c>
      <c r="O5" s="52">
        <v>2982830.6655074093</v>
      </c>
      <c r="P5" s="52">
        <v>2229693.5508543164</v>
      </c>
      <c r="Q5" s="52">
        <v>-753137.11465309304</v>
      </c>
      <c r="R5" s="52">
        <v>627705.46</v>
      </c>
      <c r="S5" s="52">
        <v>1197052.126057439</v>
      </c>
      <c r="T5" s="52">
        <v>569346.66605743906</v>
      </c>
      <c r="U5" s="52">
        <v>-183790.44859565399</v>
      </c>
      <c r="V5" s="52">
        <v>25994.880000000001</v>
      </c>
      <c r="W5" s="60"/>
      <c r="X5" s="58">
        <f t="shared" si="1"/>
        <v>25994.880000000001</v>
      </c>
      <c r="Y5" s="7"/>
      <c r="Z5" s="8">
        <f t="shared" si="0"/>
        <v>1</v>
      </c>
      <c r="AA5" s="37">
        <f t="shared" ref="AA5:AA35" si="3">IF(Z5=1,(IF(U5&lt;0,V5,V5-U5)),0)</f>
        <v>25994.880000000001</v>
      </c>
      <c r="AB5" s="37">
        <f t="shared" ref="AB5:AB35" si="4">IF(AA5=0,U5-V5,0)</f>
        <v>0</v>
      </c>
    </row>
    <row r="6" spans="1:29" ht="30.75">
      <c r="A6" s="1">
        <v>4</v>
      </c>
      <c r="C6" s="108" t="s">
        <v>12</v>
      </c>
      <c r="D6" s="108"/>
      <c r="E6" s="108"/>
      <c r="F6" s="51">
        <v>1666.0208910891088</v>
      </c>
      <c r="G6" s="88" t="str">
        <f t="shared" si="2"/>
        <v>amt paid 1666.02</v>
      </c>
      <c r="H6" s="31" t="s">
        <v>52</v>
      </c>
      <c r="I6" s="31" t="s">
        <v>52</v>
      </c>
      <c r="J6" s="43" t="s">
        <v>28</v>
      </c>
      <c r="K6" s="51">
        <v>470067.08999999997</v>
      </c>
      <c r="L6" s="51">
        <v>0</v>
      </c>
      <c r="M6" s="51">
        <v>0</v>
      </c>
      <c r="N6" s="51">
        <v>1014.1004239491</v>
      </c>
      <c r="O6" s="51">
        <v>471081.19042394904</v>
      </c>
      <c r="P6" s="51">
        <v>467877.85576455214</v>
      </c>
      <c r="Q6" s="51">
        <v>-3203.3346593969036</v>
      </c>
      <c r="R6" s="51">
        <v>301610.67</v>
      </c>
      <c r="S6" s="51">
        <v>411542.55219142063</v>
      </c>
      <c r="T6" s="51">
        <v>109931.88219142065</v>
      </c>
      <c r="U6" s="51">
        <v>106728.54753202375</v>
      </c>
      <c r="V6" s="51">
        <v>1666.02</v>
      </c>
      <c r="W6" s="60"/>
      <c r="X6" s="58">
        <f t="shared" si="1"/>
        <v>1666.02</v>
      </c>
      <c r="Y6" s="34"/>
      <c r="Z6" s="35">
        <f t="shared" si="0"/>
        <v>0</v>
      </c>
      <c r="AA6" s="37"/>
      <c r="AB6" s="37">
        <f t="shared" si="4"/>
        <v>105062.52753202374</v>
      </c>
    </row>
    <row r="7" spans="1:29" ht="30.75">
      <c r="A7" s="1">
        <v>5</v>
      </c>
      <c r="C7" s="117" t="s">
        <v>13</v>
      </c>
      <c r="D7" s="117"/>
      <c r="E7" s="117"/>
      <c r="F7" s="53">
        <v>458531.01</v>
      </c>
      <c r="G7" s="85" t="str">
        <f>"cap $450,207 + DSH Add-on $8,324.01"</f>
        <v>cap $450,207 + DSH Add-on $8,324.01</v>
      </c>
      <c r="H7" s="27" t="s">
        <v>52</v>
      </c>
      <c r="I7" s="27" t="s">
        <v>52</v>
      </c>
      <c r="J7" s="28" t="s">
        <v>28</v>
      </c>
      <c r="K7" s="52">
        <v>876763.83000000007</v>
      </c>
      <c r="L7" s="52">
        <v>20085</v>
      </c>
      <c r="M7" s="52">
        <v>0</v>
      </c>
      <c r="N7" s="52">
        <v>-494.49003663954585</v>
      </c>
      <c r="O7" s="52">
        <v>896354.33996336057</v>
      </c>
      <c r="P7" s="52">
        <v>1317494.0462124522</v>
      </c>
      <c r="Q7" s="52">
        <v>421139.70624909166</v>
      </c>
      <c r="R7" s="52">
        <v>0</v>
      </c>
      <c r="S7" s="52">
        <v>290921.10868082196</v>
      </c>
      <c r="T7" s="52">
        <v>290921.10868082196</v>
      </c>
      <c r="U7" s="52">
        <v>712060.81492991361</v>
      </c>
      <c r="V7" s="52">
        <v>458532.01</v>
      </c>
      <c r="W7" s="60"/>
      <c r="X7" s="58">
        <f t="shared" si="1"/>
        <v>458532.01</v>
      </c>
      <c r="Y7" s="7"/>
      <c r="Z7" s="8">
        <f t="shared" si="0"/>
        <v>0</v>
      </c>
      <c r="AA7" s="37"/>
      <c r="AB7" s="37">
        <f t="shared" si="4"/>
        <v>253528.8049299136</v>
      </c>
      <c r="AC7" s="1" t="s">
        <v>66</v>
      </c>
    </row>
    <row r="8" spans="1:29" ht="30.75">
      <c r="A8" s="1">
        <v>6</v>
      </c>
      <c r="C8" s="108" t="s">
        <v>49</v>
      </c>
      <c r="D8" s="108"/>
      <c r="E8" s="108"/>
      <c r="F8" s="51">
        <v>19088.35274509804</v>
      </c>
      <c r="G8" s="88" t="str">
        <f t="shared" ref="G8:G13" si="5">"amt paid "&amp;V8</f>
        <v>amt paid 19088.35</v>
      </c>
      <c r="H8" s="31" t="s">
        <v>52</v>
      </c>
      <c r="I8" s="31" t="s">
        <v>52</v>
      </c>
      <c r="J8" s="43" t="s">
        <v>28</v>
      </c>
      <c r="K8" s="51">
        <v>2767809.65</v>
      </c>
      <c r="L8" s="51">
        <v>260715</v>
      </c>
      <c r="M8" s="51">
        <v>0</v>
      </c>
      <c r="N8" s="51">
        <v>1330.3957062851725</v>
      </c>
      <c r="O8" s="51">
        <v>3029855.0457062852</v>
      </c>
      <c r="P8" s="51">
        <v>2735679.1965322606</v>
      </c>
      <c r="Q8" s="51">
        <v>-294175.8491740246</v>
      </c>
      <c r="R8" s="51">
        <v>122694</v>
      </c>
      <c r="S8" s="51">
        <v>700174.5351328355</v>
      </c>
      <c r="T8" s="51">
        <v>577480.5351328355</v>
      </c>
      <c r="U8" s="51">
        <v>283304.68595881091</v>
      </c>
      <c r="V8" s="51">
        <v>19088.349999999999</v>
      </c>
      <c r="W8" s="60"/>
      <c r="X8" s="58">
        <f t="shared" si="1"/>
        <v>19088.349999999999</v>
      </c>
      <c r="Y8" s="34"/>
      <c r="Z8" s="35">
        <f t="shared" si="0"/>
        <v>0</v>
      </c>
      <c r="AA8" s="37"/>
      <c r="AB8" s="37">
        <f t="shared" si="4"/>
        <v>264216.33595881093</v>
      </c>
    </row>
    <row r="9" spans="1:29" ht="30.75">
      <c r="A9" s="1">
        <v>7</v>
      </c>
      <c r="C9" s="117" t="s">
        <v>44</v>
      </c>
      <c r="D9" s="117"/>
      <c r="E9" s="117"/>
      <c r="F9" s="54">
        <v>58958.430000000008</v>
      </c>
      <c r="G9" s="89" t="str">
        <f t="shared" si="5"/>
        <v>amt paid 58958.43</v>
      </c>
      <c r="H9" s="27" t="s">
        <v>52</v>
      </c>
      <c r="I9" s="27" t="s">
        <v>52</v>
      </c>
      <c r="J9" s="28" t="s">
        <v>28</v>
      </c>
      <c r="K9" s="52">
        <v>7078204.9700000007</v>
      </c>
      <c r="L9" s="52">
        <v>0</v>
      </c>
      <c r="M9" s="52">
        <v>0</v>
      </c>
      <c r="N9" s="52">
        <v>-13519.095839234233</v>
      </c>
      <c r="O9" s="52">
        <v>7064685.8741607666</v>
      </c>
      <c r="P9" s="52">
        <v>4563927.3245148119</v>
      </c>
      <c r="Q9" s="52">
        <v>-2500758.5496459547</v>
      </c>
      <c r="R9" s="52">
        <v>380172.77</v>
      </c>
      <c r="S9" s="52">
        <v>563352.53513015085</v>
      </c>
      <c r="T9" s="52">
        <v>183179.76513015083</v>
      </c>
      <c r="U9" s="54">
        <v>-2317578.7845158037</v>
      </c>
      <c r="V9" s="54">
        <v>58958.430000000008</v>
      </c>
      <c r="W9" s="63"/>
      <c r="X9" s="58">
        <f t="shared" si="1"/>
        <v>58958.430000000008</v>
      </c>
      <c r="Y9" s="10"/>
      <c r="Z9" s="8">
        <f t="shared" si="0"/>
        <v>1</v>
      </c>
      <c r="AA9" s="37">
        <f t="shared" si="3"/>
        <v>58958.430000000008</v>
      </c>
      <c r="AB9" s="37">
        <f t="shared" si="4"/>
        <v>0</v>
      </c>
    </row>
    <row r="10" spans="1:29" ht="30.75">
      <c r="A10" s="1">
        <v>8</v>
      </c>
      <c r="C10" s="108" t="s">
        <v>34</v>
      </c>
      <c r="D10" s="108"/>
      <c r="E10" s="108"/>
      <c r="F10" s="51">
        <v>29894.910980392156</v>
      </c>
      <c r="G10" s="88" t="str">
        <f t="shared" si="5"/>
        <v>amt paid 29894.91</v>
      </c>
      <c r="H10" s="31" t="s">
        <v>52</v>
      </c>
      <c r="I10" s="31" t="s">
        <v>52</v>
      </c>
      <c r="J10" s="43" t="s">
        <v>28</v>
      </c>
      <c r="K10" s="51">
        <v>2353183.4699999997</v>
      </c>
      <c r="L10" s="51">
        <v>0</v>
      </c>
      <c r="M10" s="51">
        <v>0</v>
      </c>
      <c r="N10" s="51">
        <v>0</v>
      </c>
      <c r="O10" s="51">
        <v>2353183.4699999997</v>
      </c>
      <c r="P10" s="51">
        <v>1923697.3275527675</v>
      </c>
      <c r="Q10" s="51">
        <v>-429486.14244723227</v>
      </c>
      <c r="R10" s="51">
        <v>169173.26</v>
      </c>
      <c r="S10" s="51">
        <v>748916.85472592502</v>
      </c>
      <c r="T10" s="51">
        <v>579743.59472592501</v>
      </c>
      <c r="U10" s="51">
        <v>150257.45227869274</v>
      </c>
      <c r="V10" s="51">
        <v>29894.910000000003</v>
      </c>
      <c r="W10" s="60"/>
      <c r="X10" s="58">
        <f t="shared" si="1"/>
        <v>29894.910000000003</v>
      </c>
      <c r="Y10" s="34"/>
      <c r="Z10" s="35">
        <f t="shared" si="0"/>
        <v>0</v>
      </c>
      <c r="AA10" s="37"/>
      <c r="AB10" s="37">
        <f t="shared" si="4"/>
        <v>120362.54227869274</v>
      </c>
    </row>
    <row r="11" spans="1:29" ht="30.75">
      <c r="A11" s="1">
        <v>9</v>
      </c>
      <c r="C11" s="111" t="s">
        <v>42</v>
      </c>
      <c r="D11" s="111"/>
      <c r="E11" s="111"/>
      <c r="F11" s="55">
        <v>12811.780194174757</v>
      </c>
      <c r="G11" s="90" t="str">
        <f t="shared" si="5"/>
        <v>amt paid 12811.77</v>
      </c>
      <c r="H11" s="27" t="s">
        <v>52</v>
      </c>
      <c r="I11" s="27" t="s">
        <v>52</v>
      </c>
      <c r="J11" s="29" t="s">
        <v>28</v>
      </c>
      <c r="K11" s="55">
        <v>846036.34</v>
      </c>
      <c r="L11" s="55">
        <v>0</v>
      </c>
      <c r="M11" s="55">
        <v>0</v>
      </c>
      <c r="N11" s="55">
        <v>0</v>
      </c>
      <c r="O11" s="55">
        <v>846036.34</v>
      </c>
      <c r="P11" s="55">
        <v>736868.86434465984</v>
      </c>
      <c r="Q11" s="55">
        <v>-109167.47565534012</v>
      </c>
      <c r="R11" s="55">
        <v>87903.360000000001</v>
      </c>
      <c r="S11" s="55">
        <v>199536.03259684655</v>
      </c>
      <c r="T11" s="55">
        <v>111632.67259684655</v>
      </c>
      <c r="U11" s="55">
        <v>2465.1969415064232</v>
      </c>
      <c r="V11" s="55">
        <v>12811.77</v>
      </c>
      <c r="W11" s="60"/>
      <c r="X11" s="58">
        <f t="shared" si="1"/>
        <v>12811.77</v>
      </c>
      <c r="Y11" s="11"/>
      <c r="Z11" s="8">
        <f t="shared" si="0"/>
        <v>1</v>
      </c>
      <c r="AA11" s="37">
        <f t="shared" si="3"/>
        <v>10346.573058493577</v>
      </c>
      <c r="AB11" s="37">
        <f t="shared" si="4"/>
        <v>0</v>
      </c>
    </row>
    <row r="12" spans="1:29" ht="30.75">
      <c r="A12" s="1">
        <v>10</v>
      </c>
      <c r="C12" s="108" t="s">
        <v>14</v>
      </c>
      <c r="D12" s="108"/>
      <c r="E12" s="108"/>
      <c r="F12" s="51">
        <v>66417.673933331331</v>
      </c>
      <c r="G12" s="88" t="str">
        <f t="shared" si="5"/>
        <v>amt paid 66417.68</v>
      </c>
      <c r="H12" s="33">
        <v>0.1772428101302046</v>
      </c>
      <c r="I12" s="33">
        <v>0.1391488718433313</v>
      </c>
      <c r="J12" s="43" t="s">
        <v>30</v>
      </c>
      <c r="K12" s="51">
        <v>19225053.330000002</v>
      </c>
      <c r="L12" s="51">
        <v>1766136</v>
      </c>
      <c r="M12" s="51">
        <v>0</v>
      </c>
      <c r="N12" s="51">
        <v>20728.726806952945</v>
      </c>
      <c r="O12" s="51">
        <v>21011918.056806955</v>
      </c>
      <c r="P12" s="51">
        <v>21296229.550051436</v>
      </c>
      <c r="Q12" s="51">
        <v>284311.49324448174</v>
      </c>
      <c r="R12" s="51">
        <v>2585677.6800000002</v>
      </c>
      <c r="S12" s="51">
        <v>8429172.3041134868</v>
      </c>
      <c r="T12" s="51">
        <v>5843494.6241134871</v>
      </c>
      <c r="U12" s="51">
        <v>6127806.1173579693</v>
      </c>
      <c r="V12" s="51">
        <v>66417.679999999993</v>
      </c>
      <c r="W12" s="60"/>
      <c r="X12" s="58">
        <f t="shared" si="1"/>
        <v>66417.679999999993</v>
      </c>
      <c r="Y12" s="34"/>
      <c r="Z12" s="35">
        <f t="shared" si="0"/>
        <v>0</v>
      </c>
      <c r="AA12" s="37"/>
      <c r="AB12" s="37">
        <f t="shared" si="4"/>
        <v>6061388.4373579696</v>
      </c>
    </row>
    <row r="13" spans="1:29" ht="30.75">
      <c r="A13" s="1">
        <v>11</v>
      </c>
      <c r="C13" s="111" t="s">
        <v>15</v>
      </c>
      <c r="D13" s="111"/>
      <c r="E13" s="111"/>
      <c r="F13" s="55">
        <v>10058.743980582523</v>
      </c>
      <c r="G13" s="90" t="str">
        <f t="shared" si="5"/>
        <v>amt paid 10058.75</v>
      </c>
      <c r="H13" s="27" t="s">
        <v>52</v>
      </c>
      <c r="I13" s="27" t="s">
        <v>52</v>
      </c>
      <c r="J13" s="29" t="s">
        <v>28</v>
      </c>
      <c r="K13" s="55">
        <v>671820.28</v>
      </c>
      <c r="L13" s="55">
        <v>0</v>
      </c>
      <c r="M13" s="55">
        <v>0</v>
      </c>
      <c r="N13" s="55">
        <v>0</v>
      </c>
      <c r="O13" s="55">
        <v>671820.28</v>
      </c>
      <c r="P13" s="55">
        <v>595083.05925034534</v>
      </c>
      <c r="Q13" s="55">
        <v>-76737.220749654691</v>
      </c>
      <c r="R13" s="55">
        <v>60387.19</v>
      </c>
      <c r="S13" s="55">
        <v>212905.14789482779</v>
      </c>
      <c r="T13" s="55">
        <v>152517.95789482779</v>
      </c>
      <c r="U13" s="55">
        <v>75780.737145173101</v>
      </c>
      <c r="V13" s="55">
        <v>10058.75</v>
      </c>
      <c r="W13" s="60"/>
      <c r="X13" s="58">
        <f t="shared" si="1"/>
        <v>10058.75</v>
      </c>
      <c r="Y13" s="11"/>
      <c r="Z13" s="8">
        <f t="shared" si="0"/>
        <v>0</v>
      </c>
      <c r="AA13" s="37"/>
      <c r="AB13" s="37">
        <f t="shared" si="4"/>
        <v>65721.987145173101</v>
      </c>
    </row>
    <row r="14" spans="1:29" ht="30.75">
      <c r="A14" s="1">
        <v>12</v>
      </c>
      <c r="C14" s="108" t="s">
        <v>16</v>
      </c>
      <c r="D14" s="108"/>
      <c r="E14" s="108"/>
      <c r="F14" s="51">
        <v>410480.87</v>
      </c>
      <c r="G14" s="98" t="str">
        <f>"cap $450,207 + DSH Add-on $7,040.12"</f>
        <v>cap $450,207 + DSH Add-on $7,040.12</v>
      </c>
      <c r="H14" s="31" t="s">
        <v>52</v>
      </c>
      <c r="I14" s="31" t="s">
        <v>52</v>
      </c>
      <c r="J14" s="43" t="s">
        <v>28</v>
      </c>
      <c r="K14" s="51">
        <v>405735.49</v>
      </c>
      <c r="L14" s="51">
        <v>6074.4</v>
      </c>
      <c r="M14" s="51">
        <v>0</v>
      </c>
      <c r="N14" s="51">
        <v>-18448.357098381031</v>
      </c>
      <c r="O14" s="51">
        <v>393361.53290161898</v>
      </c>
      <c r="P14" s="51">
        <v>485947.19644159259</v>
      </c>
      <c r="Q14" s="51">
        <v>92585.663539973582</v>
      </c>
      <c r="R14" s="51">
        <v>99610.1</v>
      </c>
      <c r="S14" s="51">
        <v>231231.38269593232</v>
      </c>
      <c r="T14" s="51">
        <v>131621.28269593231</v>
      </c>
      <c r="U14" s="51">
        <v>224206.9462359059</v>
      </c>
      <c r="V14" s="51">
        <v>410480.87</v>
      </c>
      <c r="W14" s="60"/>
      <c r="X14" s="58">
        <f t="shared" si="1"/>
        <v>410480.87</v>
      </c>
      <c r="Y14" s="34"/>
      <c r="Z14" s="35">
        <f t="shared" si="0"/>
        <v>1</v>
      </c>
      <c r="AA14" s="37">
        <f t="shared" si="3"/>
        <v>186273.9237640941</v>
      </c>
      <c r="AB14" s="37">
        <f t="shared" si="4"/>
        <v>0</v>
      </c>
    </row>
    <row r="15" spans="1:29" ht="30.75">
      <c r="A15" s="1">
        <v>13</v>
      </c>
      <c r="C15" s="111" t="s">
        <v>17</v>
      </c>
      <c r="D15" s="111"/>
      <c r="E15" s="111"/>
      <c r="F15" s="55">
        <v>438101.54</v>
      </c>
      <c r="G15" s="98" t="str">
        <f>"cap $450,207 + DSH Add-on $23,766.54"</f>
        <v>cap $450,207 + DSH Add-on $23,766.54</v>
      </c>
      <c r="H15" s="27" t="s">
        <v>52</v>
      </c>
      <c r="I15" s="27" t="s">
        <v>52</v>
      </c>
      <c r="J15" s="29" t="s">
        <v>28</v>
      </c>
      <c r="K15" s="55">
        <v>1389439.87</v>
      </c>
      <c r="L15" s="55">
        <v>0</v>
      </c>
      <c r="M15" s="55">
        <v>0</v>
      </c>
      <c r="N15" s="55">
        <v>163.03435305357007</v>
      </c>
      <c r="O15" s="55">
        <v>1389602.9043530538</v>
      </c>
      <c r="P15" s="55">
        <v>1251031.4687337517</v>
      </c>
      <c r="Q15" s="55">
        <v>-138571.43561930209</v>
      </c>
      <c r="R15" s="55">
        <v>194520.21</v>
      </c>
      <c r="S15" s="55">
        <v>259949.84954335733</v>
      </c>
      <c r="T15" s="55">
        <v>65429.639543357334</v>
      </c>
      <c r="U15" s="55">
        <v>-73141.79607594476</v>
      </c>
      <c r="V15" s="55">
        <v>438101.54</v>
      </c>
      <c r="W15" s="60"/>
      <c r="X15" s="58">
        <f t="shared" si="1"/>
        <v>438101.54</v>
      </c>
      <c r="Y15" s="11"/>
      <c r="Z15" s="8">
        <f t="shared" si="0"/>
        <v>1</v>
      </c>
      <c r="AA15" s="37">
        <f t="shared" si="3"/>
        <v>438101.54</v>
      </c>
      <c r="AB15" s="37">
        <f t="shared" si="4"/>
        <v>0</v>
      </c>
    </row>
    <row r="16" spans="1:29" ht="30.75">
      <c r="A16" s="1">
        <v>14</v>
      </c>
      <c r="C16" s="108" t="s">
        <v>45</v>
      </c>
      <c r="D16" s="108"/>
      <c r="E16" s="108"/>
      <c r="F16" s="51">
        <v>22796.635339805824</v>
      </c>
      <c r="G16" s="88" t="str">
        <f t="shared" ref="G16:G17" si="6">"amt paid "&amp;V16</f>
        <v>amt paid 22796.63</v>
      </c>
      <c r="H16" s="31" t="s">
        <v>52</v>
      </c>
      <c r="I16" s="31" t="s">
        <v>52</v>
      </c>
      <c r="J16" s="43" t="s">
        <v>28</v>
      </c>
      <c r="K16" s="51">
        <v>1192868.1100000001</v>
      </c>
      <c r="L16" s="51">
        <v>25</v>
      </c>
      <c r="M16" s="51">
        <v>0</v>
      </c>
      <c r="N16" s="51">
        <v>-1414.9925099268778</v>
      </c>
      <c r="O16" s="51">
        <v>1191478.1174900732</v>
      </c>
      <c r="P16" s="51">
        <v>980438.38817372918</v>
      </c>
      <c r="Q16" s="51">
        <v>-211039.72931634402</v>
      </c>
      <c r="R16" s="51">
        <v>286897.15000000002</v>
      </c>
      <c r="S16" s="51">
        <v>519505.70250184403</v>
      </c>
      <c r="T16" s="51">
        <v>232608.55250184401</v>
      </c>
      <c r="U16" s="51">
        <v>21568.82318549999</v>
      </c>
      <c r="V16" s="51">
        <v>22796.63</v>
      </c>
      <c r="W16" s="60"/>
      <c r="X16" s="58">
        <f t="shared" si="1"/>
        <v>22796.63</v>
      </c>
      <c r="Y16" s="34"/>
      <c r="Z16" s="35">
        <f t="shared" si="0"/>
        <v>1</v>
      </c>
      <c r="AA16" s="37">
        <f t="shared" si="3"/>
        <v>1227.8068145000107</v>
      </c>
      <c r="AB16" s="37">
        <f t="shared" si="4"/>
        <v>0</v>
      </c>
    </row>
    <row r="17" spans="1:29" ht="30.75">
      <c r="A17" s="1">
        <v>15</v>
      </c>
      <c r="C17" s="111" t="s">
        <v>31</v>
      </c>
      <c r="D17" s="111"/>
      <c r="E17" s="111"/>
      <c r="F17" s="55">
        <v>148654.33888608162</v>
      </c>
      <c r="G17" s="90" t="str">
        <f t="shared" si="6"/>
        <v>amt paid 148654.36</v>
      </c>
      <c r="H17" s="12">
        <v>0.14861919514985511</v>
      </c>
      <c r="I17" s="12">
        <v>0.15850634506612371</v>
      </c>
      <c r="J17" s="29" t="s">
        <v>30</v>
      </c>
      <c r="K17" s="55">
        <v>38787229.230000004</v>
      </c>
      <c r="L17" s="55">
        <v>2997481.17</v>
      </c>
      <c r="M17" s="55">
        <v>1340511</v>
      </c>
      <c r="N17" s="55">
        <v>36332.615354333218</v>
      </c>
      <c r="O17" s="55">
        <v>43161554.015354343</v>
      </c>
      <c r="P17" s="55">
        <v>37179694.831098989</v>
      </c>
      <c r="Q17" s="55">
        <v>-5981859.1842553541</v>
      </c>
      <c r="R17" s="55">
        <v>2786060.82</v>
      </c>
      <c r="S17" s="55">
        <v>19904640.237330668</v>
      </c>
      <c r="T17" s="55">
        <v>17118579.417330667</v>
      </c>
      <c r="U17" s="55">
        <v>11136720.233075313</v>
      </c>
      <c r="V17" s="55">
        <v>148654.36000000002</v>
      </c>
      <c r="W17" s="60"/>
      <c r="X17" s="58">
        <f t="shared" si="1"/>
        <v>148654.36000000002</v>
      </c>
      <c r="Y17" s="11"/>
      <c r="Z17" s="8">
        <f t="shared" si="0"/>
        <v>0</v>
      </c>
      <c r="AA17" s="37"/>
      <c r="AB17" s="37">
        <f t="shared" si="4"/>
        <v>10988065.873075314</v>
      </c>
    </row>
    <row r="18" spans="1:29" ht="30.75">
      <c r="A18" s="1">
        <v>16</v>
      </c>
      <c r="C18" s="108" t="s">
        <v>18</v>
      </c>
      <c r="D18" s="108"/>
      <c r="E18" s="108"/>
      <c r="F18" s="51">
        <v>454130.6</v>
      </c>
      <c r="G18" s="85" t="str">
        <f>"cap $450,207 + DSH Add-on $3,923.60"</f>
        <v>cap $450,207 + DSH Add-on $3,923.60</v>
      </c>
      <c r="H18" s="31" t="s">
        <v>52</v>
      </c>
      <c r="I18" s="31" t="s">
        <v>52</v>
      </c>
      <c r="J18" s="43" t="s">
        <v>28</v>
      </c>
      <c r="K18" s="51">
        <v>661558.92000000004</v>
      </c>
      <c r="L18" s="51">
        <v>0</v>
      </c>
      <c r="M18" s="51">
        <v>0</v>
      </c>
      <c r="N18" s="51">
        <v>220.34499499272428</v>
      </c>
      <c r="O18" s="51">
        <v>661779.26499499276</v>
      </c>
      <c r="P18" s="51">
        <v>905947.12621314381</v>
      </c>
      <c r="Q18" s="51">
        <v>244167.86121815105</v>
      </c>
      <c r="R18" s="51">
        <v>44021.05</v>
      </c>
      <c r="S18" s="51">
        <v>343277.76785656862</v>
      </c>
      <c r="T18" s="51">
        <v>299256.71785656863</v>
      </c>
      <c r="U18" s="51">
        <v>543424.57907471969</v>
      </c>
      <c r="V18" s="51">
        <v>454131.61</v>
      </c>
      <c r="W18" s="60"/>
      <c r="X18" s="58">
        <f t="shared" si="1"/>
        <v>454131.61</v>
      </c>
      <c r="Y18" s="34"/>
      <c r="Z18" s="35">
        <f t="shared" si="0"/>
        <v>0</v>
      </c>
      <c r="AA18" s="37"/>
      <c r="AB18" s="37">
        <f t="shared" si="4"/>
        <v>89292.969074719702</v>
      </c>
      <c r="AC18" s="1" t="s">
        <v>66</v>
      </c>
    </row>
    <row r="19" spans="1:29" ht="30.75">
      <c r="A19" s="1">
        <v>17</v>
      </c>
      <c r="C19" s="117" t="s">
        <v>19</v>
      </c>
      <c r="D19" s="117"/>
      <c r="E19" s="117"/>
      <c r="F19" s="52">
        <v>37692.955280189526</v>
      </c>
      <c r="G19" s="87" t="str">
        <f t="shared" ref="G19:G20" si="7">"amt paid "&amp;V19</f>
        <v>amt paid 37692.96</v>
      </c>
      <c r="H19" s="9">
        <v>0.26260011325944504</v>
      </c>
      <c r="I19" s="9">
        <v>0.16317682460633084</v>
      </c>
      <c r="J19" s="28" t="s">
        <v>30</v>
      </c>
      <c r="K19" s="52">
        <v>11164917.949999999</v>
      </c>
      <c r="L19" s="52">
        <v>514070.72</v>
      </c>
      <c r="M19" s="52">
        <v>0</v>
      </c>
      <c r="N19" s="52">
        <v>25202.235345026587</v>
      </c>
      <c r="O19" s="52">
        <v>11704190.905345026</v>
      </c>
      <c r="P19" s="52">
        <v>10278290.090186473</v>
      </c>
      <c r="Q19" s="52">
        <v>-1425900.8151585525</v>
      </c>
      <c r="R19" s="52">
        <v>1204874.8600000001</v>
      </c>
      <c r="S19" s="52">
        <v>2722180.0258593494</v>
      </c>
      <c r="T19" s="52">
        <v>1517305.1658593493</v>
      </c>
      <c r="U19" s="52">
        <v>91404.350700796815</v>
      </c>
      <c r="V19" s="52">
        <v>37692.959999999999</v>
      </c>
      <c r="W19" s="60"/>
      <c r="X19" s="58">
        <f t="shared" si="1"/>
        <v>37692.959999999999</v>
      </c>
      <c r="Y19" s="7"/>
      <c r="Z19" s="8">
        <f t="shared" si="0"/>
        <v>0</v>
      </c>
      <c r="AA19" s="37"/>
      <c r="AB19" s="37">
        <f t="shared" si="4"/>
        <v>53711.390700796816</v>
      </c>
    </row>
    <row r="20" spans="1:29" ht="30.75">
      <c r="A20" s="1">
        <v>18</v>
      </c>
      <c r="C20" s="108" t="s">
        <v>80</v>
      </c>
      <c r="D20" s="108"/>
      <c r="E20" s="108"/>
      <c r="F20" s="51">
        <v>97070.177672609949</v>
      </c>
      <c r="G20" s="88" t="str">
        <f t="shared" si="7"/>
        <v>amt paid 97070.18</v>
      </c>
      <c r="H20" s="33">
        <v>0.2371277668666065</v>
      </c>
      <c r="I20" s="33">
        <v>0.18702735399079151</v>
      </c>
      <c r="J20" s="43" t="s">
        <v>30</v>
      </c>
      <c r="K20" s="51">
        <v>28846958.349999998</v>
      </c>
      <c r="L20" s="51">
        <v>4607051.4800000004</v>
      </c>
      <c r="M20" s="51">
        <v>629830</v>
      </c>
      <c r="N20" s="51">
        <v>42997.543862718499</v>
      </c>
      <c r="O20" s="51">
        <v>34126837.373862721</v>
      </c>
      <c r="P20" s="51">
        <v>29345312.661912255</v>
      </c>
      <c r="Q20" s="51">
        <v>-4781524.7119504623</v>
      </c>
      <c r="R20" s="51">
        <v>1508264.45</v>
      </c>
      <c r="S20" s="51">
        <v>10015606.003307201</v>
      </c>
      <c r="T20" s="51">
        <v>8507341.5533072017</v>
      </c>
      <c r="U20" s="51">
        <v>3725816.8413567394</v>
      </c>
      <c r="V20" s="51">
        <v>97070.18</v>
      </c>
      <c r="W20" s="60"/>
      <c r="X20" s="58">
        <f t="shared" si="1"/>
        <v>97070.18</v>
      </c>
      <c r="Y20" s="34"/>
      <c r="Z20" s="35">
        <f t="shared" si="0"/>
        <v>0</v>
      </c>
      <c r="AA20" s="37"/>
      <c r="AB20" s="37">
        <f t="shared" si="4"/>
        <v>3628746.6613567392</v>
      </c>
    </row>
    <row r="21" spans="1:29" ht="30.75">
      <c r="A21" s="1">
        <v>19</v>
      </c>
      <c r="B21" s="65">
        <v>16</v>
      </c>
      <c r="C21" s="117" t="s">
        <v>20</v>
      </c>
      <c r="D21" s="117"/>
      <c r="E21" s="117"/>
      <c r="F21" s="55">
        <v>225104</v>
      </c>
      <c r="G21" s="98" t="str">
        <f>"cap $450,207 + DSH Add-on $0"</f>
        <v>cap $450,207 + DSH Add-on $0</v>
      </c>
      <c r="H21" s="27" t="s">
        <v>52</v>
      </c>
      <c r="I21" s="27" t="s">
        <v>52</v>
      </c>
      <c r="J21" s="28" t="s">
        <v>28</v>
      </c>
      <c r="K21" s="52">
        <v>25012.81</v>
      </c>
      <c r="L21" s="52">
        <v>0</v>
      </c>
      <c r="M21" s="52">
        <v>0</v>
      </c>
      <c r="N21" s="52">
        <v>0</v>
      </c>
      <c r="O21" s="52">
        <v>25012.81</v>
      </c>
      <c r="P21" s="52">
        <v>38270.712033443015</v>
      </c>
      <c r="Q21" s="52">
        <v>13257.902033443013</v>
      </c>
      <c r="R21" s="52">
        <v>0</v>
      </c>
      <c r="S21" s="52">
        <v>24911.8914359025</v>
      </c>
      <c r="T21" s="52">
        <v>24911.8914359025</v>
      </c>
      <c r="U21" s="52">
        <v>38169.793469345517</v>
      </c>
      <c r="V21" s="52">
        <v>225104</v>
      </c>
      <c r="W21" s="60"/>
      <c r="X21" s="58">
        <f t="shared" si="1"/>
        <v>225104</v>
      </c>
      <c r="Y21" s="7"/>
      <c r="Z21" s="8">
        <f t="shared" si="0"/>
        <v>1</v>
      </c>
      <c r="AA21" s="37">
        <f t="shared" si="3"/>
        <v>186934.20653065448</v>
      </c>
      <c r="AB21" s="37">
        <f t="shared" si="4"/>
        <v>0</v>
      </c>
    </row>
    <row r="22" spans="1:29" ht="30.75">
      <c r="A22" s="1">
        <v>20</v>
      </c>
      <c r="C22" s="108" t="s">
        <v>21</v>
      </c>
      <c r="D22" s="108"/>
      <c r="E22" s="108"/>
      <c r="F22" s="51">
        <v>8433.1889858818849</v>
      </c>
      <c r="G22" s="88" t="str">
        <f t="shared" ref="G22:G25" si="8">"amt paid "&amp;V22</f>
        <v>amt paid 8433.19</v>
      </c>
      <c r="H22" s="33">
        <v>0.24882832215732931</v>
      </c>
      <c r="I22" s="33">
        <v>0.12709094522153602</v>
      </c>
      <c r="J22" s="43" t="s">
        <v>30</v>
      </c>
      <c r="K22" s="51">
        <v>4006441.81</v>
      </c>
      <c r="L22" s="51">
        <v>3452261</v>
      </c>
      <c r="M22" s="51">
        <v>0</v>
      </c>
      <c r="N22" s="51">
        <v>-1653.7060820138688</v>
      </c>
      <c r="O22" s="51">
        <v>7457049.1039179862</v>
      </c>
      <c r="P22" s="51">
        <v>6781734.5787099451</v>
      </c>
      <c r="Q22" s="51">
        <v>-675314.5252080413</v>
      </c>
      <c r="R22" s="51">
        <v>562938</v>
      </c>
      <c r="S22" s="51">
        <v>1779621.0593050409</v>
      </c>
      <c r="T22" s="51">
        <v>1216683.0593050409</v>
      </c>
      <c r="U22" s="51">
        <v>541368.53409699956</v>
      </c>
      <c r="V22" s="51">
        <v>8433.1899999999987</v>
      </c>
      <c r="W22" s="60"/>
      <c r="X22" s="58">
        <f t="shared" si="1"/>
        <v>8433.1899999999987</v>
      </c>
      <c r="Y22" s="34"/>
      <c r="Z22" s="35">
        <f t="shared" si="0"/>
        <v>0</v>
      </c>
      <c r="AA22" s="37"/>
      <c r="AB22" s="37">
        <f t="shared" si="4"/>
        <v>532935.34409699962</v>
      </c>
    </row>
    <row r="23" spans="1:29" ht="30.75">
      <c r="A23" s="1">
        <v>21</v>
      </c>
      <c r="C23" s="111" t="s">
        <v>22</v>
      </c>
      <c r="D23" s="111"/>
      <c r="E23" s="111"/>
      <c r="F23" s="55">
        <v>52817.531176470584</v>
      </c>
      <c r="G23" s="90" t="str">
        <f t="shared" si="8"/>
        <v>amt paid 52817.53</v>
      </c>
      <c r="H23" s="12" t="s">
        <v>52</v>
      </c>
      <c r="I23" s="12" t="s">
        <v>52</v>
      </c>
      <c r="J23" s="29" t="s">
        <v>28</v>
      </c>
      <c r="K23" s="55">
        <v>5417573.4399999995</v>
      </c>
      <c r="L23" s="55">
        <v>0</v>
      </c>
      <c r="M23" s="55">
        <v>0</v>
      </c>
      <c r="N23" s="55">
        <v>1958.4616530657072</v>
      </c>
      <c r="O23" s="55">
        <v>5419531.9016530653</v>
      </c>
      <c r="P23" s="55">
        <v>3270594.9186797915</v>
      </c>
      <c r="Q23" s="55">
        <v>-2148936.9829732738</v>
      </c>
      <c r="R23" s="55">
        <v>359738.56</v>
      </c>
      <c r="S23" s="55">
        <v>1402202.574020437</v>
      </c>
      <c r="T23" s="55">
        <v>1042464.0140204369</v>
      </c>
      <c r="U23" s="55">
        <v>-1106472.9689528369</v>
      </c>
      <c r="V23" s="55">
        <v>52817.53</v>
      </c>
      <c r="W23" s="60"/>
      <c r="X23" s="58">
        <f t="shared" si="1"/>
        <v>52817.53</v>
      </c>
      <c r="Y23" s="11"/>
      <c r="Z23" s="8">
        <f t="shared" si="0"/>
        <v>1</v>
      </c>
      <c r="AA23" s="37">
        <f t="shared" si="3"/>
        <v>52817.53</v>
      </c>
      <c r="AB23" s="37">
        <f t="shared" si="4"/>
        <v>0</v>
      </c>
    </row>
    <row r="24" spans="1:29" ht="30.75">
      <c r="A24" s="1">
        <v>22</v>
      </c>
      <c r="C24" s="108" t="s">
        <v>23</v>
      </c>
      <c r="D24" s="108"/>
      <c r="E24" s="108"/>
      <c r="F24" s="51">
        <v>8591</v>
      </c>
      <c r="G24" s="88" t="str">
        <f t="shared" si="8"/>
        <v>amt paid 8590.5</v>
      </c>
      <c r="H24" s="33">
        <v>0.31600955794504182</v>
      </c>
      <c r="I24" s="33">
        <v>0.18406403936953536</v>
      </c>
      <c r="J24" s="43" t="s">
        <v>30</v>
      </c>
      <c r="K24" s="51">
        <v>3332718.75</v>
      </c>
      <c r="L24" s="51">
        <v>133563.34</v>
      </c>
      <c r="M24" s="51">
        <v>0</v>
      </c>
      <c r="N24" s="51">
        <v>0</v>
      </c>
      <c r="O24" s="51">
        <v>3466282.09</v>
      </c>
      <c r="P24" s="51">
        <v>3416573.2922218242</v>
      </c>
      <c r="Q24" s="51">
        <v>-49708.797778175678</v>
      </c>
      <c r="R24" s="51">
        <v>349630.46</v>
      </c>
      <c r="S24" s="51">
        <v>836368.7454915205</v>
      </c>
      <c r="T24" s="51">
        <v>486738.28549152048</v>
      </c>
      <c r="U24" s="51">
        <v>437029.4877133448</v>
      </c>
      <c r="V24" s="51">
        <v>8590.5</v>
      </c>
      <c r="W24" s="60"/>
      <c r="X24" s="58">
        <f t="shared" si="1"/>
        <v>8590.5</v>
      </c>
      <c r="Y24" s="34"/>
      <c r="Z24" s="35">
        <f t="shared" si="0"/>
        <v>0</v>
      </c>
      <c r="AA24" s="37"/>
      <c r="AB24" s="37">
        <f t="shared" si="4"/>
        <v>428438.9877133448</v>
      </c>
    </row>
    <row r="25" spans="1:29" ht="30.75">
      <c r="A25" s="1">
        <v>23</v>
      </c>
      <c r="C25" s="111" t="s">
        <v>24</v>
      </c>
      <c r="D25" s="111"/>
      <c r="E25" s="111"/>
      <c r="F25" s="55">
        <v>22474.353972956851</v>
      </c>
      <c r="G25" s="90" t="str">
        <f t="shared" si="8"/>
        <v>amt paid 22474.35</v>
      </c>
      <c r="H25" s="12">
        <v>0.42348334162108403</v>
      </c>
      <c r="I25" s="12">
        <v>0</v>
      </c>
      <c r="J25" s="29" t="s">
        <v>30</v>
      </c>
      <c r="K25" s="55">
        <v>17367571.009999998</v>
      </c>
      <c r="L25" s="55">
        <v>0</v>
      </c>
      <c r="M25" s="55">
        <v>0</v>
      </c>
      <c r="N25" s="55">
        <v>-19321.685187758598</v>
      </c>
      <c r="O25" s="55">
        <v>17348249.324812241</v>
      </c>
      <c r="P25" s="55">
        <v>13032127.225100031</v>
      </c>
      <c r="Q25" s="55">
        <v>-4316122.0997122098</v>
      </c>
      <c r="R25" s="55">
        <v>0</v>
      </c>
      <c r="S25" s="55">
        <v>1303119.7461865759</v>
      </c>
      <c r="T25" s="55">
        <v>1303119.7461865759</v>
      </c>
      <c r="U25" s="55">
        <v>-3013002.3535256339</v>
      </c>
      <c r="V25" s="55">
        <v>22474.35</v>
      </c>
      <c r="W25" s="60"/>
      <c r="X25" s="58">
        <f t="shared" si="1"/>
        <v>22474.35</v>
      </c>
      <c r="Y25" s="11"/>
      <c r="Z25" s="8">
        <f t="shared" si="0"/>
        <v>1</v>
      </c>
      <c r="AA25" s="37">
        <f t="shared" si="3"/>
        <v>22474.35</v>
      </c>
      <c r="AB25" s="37">
        <f t="shared" si="4"/>
        <v>0</v>
      </c>
    </row>
    <row r="26" spans="1:29" ht="30.75">
      <c r="A26" s="1">
        <v>24</v>
      </c>
      <c r="C26" s="108" t="s">
        <v>43</v>
      </c>
      <c r="D26" s="108"/>
      <c r="E26" s="108"/>
      <c r="F26" s="51">
        <v>685046.20570312499</v>
      </c>
      <c r="G26" s="91" t="s">
        <v>73</v>
      </c>
      <c r="H26" s="33">
        <v>0.36924280302449347</v>
      </c>
      <c r="I26" s="33">
        <v>0.28776178183452128</v>
      </c>
      <c r="J26" s="43" t="s">
        <v>30</v>
      </c>
      <c r="K26" s="51">
        <v>48115964.380000003</v>
      </c>
      <c r="L26" s="51">
        <v>25778819.210000001</v>
      </c>
      <c r="M26" s="51">
        <v>2435948</v>
      </c>
      <c r="N26" s="51">
        <v>0</v>
      </c>
      <c r="O26" s="51">
        <v>76330731.590000004</v>
      </c>
      <c r="P26" s="51">
        <v>76845899.499562472</v>
      </c>
      <c r="Q26" s="51">
        <v>515167.9095624648</v>
      </c>
      <c r="R26" s="51">
        <v>998265.39</v>
      </c>
      <c r="S26" s="51">
        <v>4744092.0226766439</v>
      </c>
      <c r="T26" s="51">
        <v>3745826.6326766438</v>
      </c>
      <c r="U26" s="51">
        <v>4260994.5422391091</v>
      </c>
      <c r="V26" s="51">
        <v>813906.22</v>
      </c>
      <c r="W26" s="60"/>
      <c r="X26" s="58">
        <f>V26-Y26</f>
        <v>685046.20570312499</v>
      </c>
      <c r="Y26" s="34">
        <v>128860.014296875</v>
      </c>
      <c r="Z26" s="35">
        <f t="shared" si="0"/>
        <v>0</v>
      </c>
      <c r="AA26" s="37"/>
      <c r="AB26" s="37">
        <f t="shared" si="4"/>
        <v>3447088.3222391093</v>
      </c>
    </row>
    <row r="27" spans="1:29" ht="30.75">
      <c r="A27" s="1">
        <v>25</v>
      </c>
      <c r="C27" s="111" t="s">
        <v>25</v>
      </c>
      <c r="D27" s="111"/>
      <c r="E27" s="111"/>
      <c r="F27" s="55">
        <v>17732.155109073119</v>
      </c>
      <c r="G27" s="90" t="str">
        <f t="shared" ref="G27:G32" si="9">"amt paid "&amp;V27</f>
        <v>amt paid 17732.16</v>
      </c>
      <c r="H27" s="9">
        <v>0.24119343111445404</v>
      </c>
      <c r="I27" s="9">
        <v>0</v>
      </c>
      <c r="J27" s="29" t="s">
        <v>30</v>
      </c>
      <c r="K27" s="55">
        <v>9637759.9799999893</v>
      </c>
      <c r="L27" s="55">
        <v>0</v>
      </c>
      <c r="M27" s="55">
        <v>0</v>
      </c>
      <c r="N27" s="55">
        <v>-14310.44357054381</v>
      </c>
      <c r="O27" s="55">
        <v>9623449.5364294462</v>
      </c>
      <c r="P27" s="55">
        <v>7263617.914366764</v>
      </c>
      <c r="Q27" s="55">
        <v>-2359831.6220626822</v>
      </c>
      <c r="R27" s="55">
        <v>0</v>
      </c>
      <c r="S27" s="55">
        <v>1603356.1488268664</v>
      </c>
      <c r="T27" s="55">
        <v>1603356.1488268664</v>
      </c>
      <c r="U27" s="55">
        <v>-756475.47323581576</v>
      </c>
      <c r="V27" s="55">
        <v>17732.16</v>
      </c>
      <c r="W27" s="60"/>
      <c r="X27" s="58">
        <f t="shared" si="1"/>
        <v>17732.16</v>
      </c>
      <c r="Y27" s="11"/>
      <c r="Z27" s="8">
        <f t="shared" si="0"/>
        <v>1</v>
      </c>
      <c r="AA27" s="37">
        <f t="shared" si="3"/>
        <v>17732.16</v>
      </c>
      <c r="AB27" s="37">
        <f t="shared" si="4"/>
        <v>0</v>
      </c>
    </row>
    <row r="28" spans="1:29" ht="32.25">
      <c r="A28" s="1">
        <v>26</v>
      </c>
      <c r="C28" s="108" t="s">
        <v>26</v>
      </c>
      <c r="D28" s="108"/>
      <c r="E28" s="108"/>
      <c r="F28" s="51">
        <v>1036693.69</v>
      </c>
      <c r="G28" s="85" t="str">
        <f>"cap $1M + DSH Add-on $36,693.69"</f>
        <v>cap $1M + DSH Add-on $36,693.69</v>
      </c>
      <c r="H28" s="33" t="s">
        <v>52</v>
      </c>
      <c r="I28" s="33" t="s">
        <v>52</v>
      </c>
      <c r="J28" s="43" t="s">
        <v>28</v>
      </c>
      <c r="K28" s="51">
        <v>1637870.52</v>
      </c>
      <c r="L28" s="51">
        <v>0</v>
      </c>
      <c r="M28" s="51">
        <v>0</v>
      </c>
      <c r="N28" s="51">
        <v>-2120.6250906606874</v>
      </c>
      <c r="O28" s="51">
        <v>1635749.8949093393</v>
      </c>
      <c r="P28" s="51">
        <v>1572062.0415136437</v>
      </c>
      <c r="Q28" s="51">
        <v>-63687.853395695565</v>
      </c>
      <c r="R28" s="107" t="s">
        <v>77</v>
      </c>
      <c r="S28" s="107" t="s">
        <v>77</v>
      </c>
      <c r="T28" s="107" t="s">
        <v>77</v>
      </c>
      <c r="U28" s="51">
        <v>-63687.853395695565</v>
      </c>
      <c r="V28" s="51">
        <v>1036693.68</v>
      </c>
      <c r="W28" s="60"/>
      <c r="X28" s="58">
        <f t="shared" si="1"/>
        <v>1036693.68</v>
      </c>
      <c r="Y28" s="34"/>
      <c r="Z28" s="35">
        <f t="shared" si="0"/>
        <v>1</v>
      </c>
      <c r="AA28" s="37">
        <f t="shared" si="3"/>
        <v>1036693.68</v>
      </c>
      <c r="AB28" s="37">
        <f t="shared" si="4"/>
        <v>0</v>
      </c>
    </row>
    <row r="29" spans="1:29" ht="30.75">
      <c r="A29" s="1">
        <v>27</v>
      </c>
      <c r="C29" s="111" t="s">
        <v>32</v>
      </c>
      <c r="D29" s="111"/>
      <c r="E29" s="111"/>
      <c r="F29" s="55">
        <v>39639.961923076924</v>
      </c>
      <c r="G29" s="90" t="str">
        <f t="shared" si="9"/>
        <v>amt paid 39639.96</v>
      </c>
      <c r="H29" s="27" t="s">
        <v>52</v>
      </c>
      <c r="I29" s="27" t="s">
        <v>52</v>
      </c>
      <c r="J29" s="29" t="s">
        <v>28</v>
      </c>
      <c r="K29" s="55">
        <v>2058908.5299999998</v>
      </c>
      <c r="L29" s="55">
        <v>0</v>
      </c>
      <c r="M29" s="55">
        <v>0</v>
      </c>
      <c r="N29" s="55">
        <v>0</v>
      </c>
      <c r="O29" s="55">
        <v>2058908.5299999998</v>
      </c>
      <c r="P29" s="55">
        <v>1518583.6220032042</v>
      </c>
      <c r="Q29" s="55">
        <v>-540324.90799679561</v>
      </c>
      <c r="R29" s="55">
        <v>223779.9</v>
      </c>
      <c r="S29" s="55">
        <v>392272.83677194937</v>
      </c>
      <c r="T29" s="55">
        <v>168492.93677194937</v>
      </c>
      <c r="U29" s="55">
        <v>-371831.9712248462</v>
      </c>
      <c r="V29" s="55">
        <v>39639.96</v>
      </c>
      <c r="W29" s="60"/>
      <c r="X29" s="58">
        <f t="shared" si="1"/>
        <v>39639.96</v>
      </c>
      <c r="Y29" s="11"/>
      <c r="Z29" s="8">
        <f t="shared" si="0"/>
        <v>1</v>
      </c>
      <c r="AA29" s="37">
        <f t="shared" si="3"/>
        <v>39639.96</v>
      </c>
      <c r="AB29" s="37">
        <f t="shared" si="4"/>
        <v>0</v>
      </c>
    </row>
    <row r="30" spans="1:29" ht="30.75">
      <c r="A30" s="1">
        <v>28</v>
      </c>
      <c r="C30" s="108" t="s">
        <v>51</v>
      </c>
      <c r="D30" s="108"/>
      <c r="E30" s="108"/>
      <c r="F30" s="51">
        <v>16924.736896551723</v>
      </c>
      <c r="G30" s="88" t="str">
        <f t="shared" si="9"/>
        <v>amt paid 16924.74</v>
      </c>
      <c r="H30" s="33" t="s">
        <v>52</v>
      </c>
      <c r="I30" s="33" t="s">
        <v>52</v>
      </c>
      <c r="J30" s="43" t="s">
        <v>28</v>
      </c>
      <c r="K30" s="51">
        <v>3174669.94</v>
      </c>
      <c r="L30" s="51">
        <v>0</v>
      </c>
      <c r="M30" s="51">
        <v>0</v>
      </c>
      <c r="N30" s="51">
        <v>-20867.537119117551</v>
      </c>
      <c r="O30" s="51">
        <v>3153802.4028808824</v>
      </c>
      <c r="P30" s="51">
        <v>2506383.9003427397</v>
      </c>
      <c r="Q30" s="51">
        <v>-647418.50253814273</v>
      </c>
      <c r="R30" s="51">
        <v>305333.96000000002</v>
      </c>
      <c r="S30" s="51">
        <v>545386.89499541256</v>
      </c>
      <c r="T30" s="51">
        <v>240052.93499541254</v>
      </c>
      <c r="U30" s="51">
        <v>-407365.56754273019</v>
      </c>
      <c r="V30" s="51">
        <v>16924.739999999998</v>
      </c>
      <c r="W30" s="60"/>
      <c r="X30" s="58">
        <f t="shared" si="1"/>
        <v>16924.739999999998</v>
      </c>
      <c r="Y30" s="34"/>
      <c r="Z30" s="35">
        <f t="shared" si="0"/>
        <v>1</v>
      </c>
      <c r="AA30" s="37">
        <f t="shared" si="3"/>
        <v>16924.739999999998</v>
      </c>
      <c r="AB30" s="37">
        <f t="shared" si="4"/>
        <v>0</v>
      </c>
    </row>
    <row r="31" spans="1:29" ht="30.75">
      <c r="A31" s="1">
        <v>29</v>
      </c>
      <c r="C31" s="111" t="s">
        <v>50</v>
      </c>
      <c r="D31" s="111"/>
      <c r="E31" s="111"/>
      <c r="F31" s="55">
        <v>30663.396203194134</v>
      </c>
      <c r="G31" s="90" t="str">
        <f t="shared" si="9"/>
        <v>amt paid 30663.4</v>
      </c>
      <c r="H31" s="12">
        <v>0.20904440467298938</v>
      </c>
      <c r="I31" s="12">
        <v>9.4256990406808544E-2</v>
      </c>
      <c r="J31" s="29" t="s">
        <v>30</v>
      </c>
      <c r="K31" s="55">
        <v>13177943.6</v>
      </c>
      <c r="L31" s="55">
        <v>15199044</v>
      </c>
      <c r="M31" s="55">
        <v>317975</v>
      </c>
      <c r="N31" s="55">
        <v>92540.448714050421</v>
      </c>
      <c r="O31" s="55">
        <v>28787503.048714053</v>
      </c>
      <c r="P31" s="55">
        <v>21979831.252977576</v>
      </c>
      <c r="Q31" s="55">
        <v>-6807671.7957364777</v>
      </c>
      <c r="R31" s="55">
        <v>2478306</v>
      </c>
      <c r="S31" s="55">
        <v>7312519.7484385306</v>
      </c>
      <c r="T31" s="55">
        <v>4834213.7484385306</v>
      </c>
      <c r="U31" s="55">
        <v>-1973458.0472979471</v>
      </c>
      <c r="V31" s="55">
        <v>30663.4</v>
      </c>
      <c r="W31" s="60"/>
      <c r="X31" s="58">
        <f t="shared" si="1"/>
        <v>30663.4</v>
      </c>
      <c r="Y31" s="34"/>
      <c r="Z31" s="35">
        <f>IF(U31-V31&gt;0,,1)</f>
        <v>1</v>
      </c>
      <c r="AA31" s="37">
        <f t="shared" si="3"/>
        <v>30663.4</v>
      </c>
      <c r="AB31" s="37">
        <f t="shared" si="4"/>
        <v>0</v>
      </c>
    </row>
    <row r="32" spans="1:29" ht="32.25">
      <c r="A32" s="1">
        <v>30</v>
      </c>
      <c r="C32" s="108" t="s">
        <v>46</v>
      </c>
      <c r="D32" s="108"/>
      <c r="E32" s="108"/>
      <c r="F32" s="51">
        <v>90745.113846153836</v>
      </c>
      <c r="G32" s="88" t="str">
        <f t="shared" si="9"/>
        <v>amt paid 90745.11</v>
      </c>
      <c r="H32" s="31" t="s">
        <v>52</v>
      </c>
      <c r="I32" s="31" t="s">
        <v>52</v>
      </c>
      <c r="J32" s="43" t="s">
        <v>28</v>
      </c>
      <c r="K32" s="51">
        <v>4374498.8899999997</v>
      </c>
      <c r="L32" s="51">
        <v>0</v>
      </c>
      <c r="M32" s="51">
        <v>0</v>
      </c>
      <c r="N32" s="51">
        <v>10143.631546611201</v>
      </c>
      <c r="O32" s="51">
        <v>4384642.5215466106</v>
      </c>
      <c r="P32" s="51">
        <v>3616553.9606727152</v>
      </c>
      <c r="Q32" s="51">
        <v>-768088.56087389542</v>
      </c>
      <c r="R32" s="107" t="s">
        <v>77</v>
      </c>
      <c r="S32" s="107" t="s">
        <v>77</v>
      </c>
      <c r="T32" s="107" t="s">
        <v>77</v>
      </c>
      <c r="U32" s="51">
        <v>-768088.56087389542</v>
      </c>
      <c r="V32" s="51">
        <v>90745.109999999986</v>
      </c>
      <c r="W32" s="60"/>
      <c r="X32" s="58">
        <f t="shared" si="1"/>
        <v>90745.109999999986</v>
      </c>
      <c r="Y32" s="11"/>
      <c r="Z32" s="8">
        <f>IF(U32-V32&gt;0,,1)</f>
        <v>1</v>
      </c>
      <c r="AA32" s="37">
        <f t="shared" si="3"/>
        <v>90745.109999999986</v>
      </c>
      <c r="AB32" s="37">
        <f t="shared" si="4"/>
        <v>0</v>
      </c>
    </row>
    <row r="33" spans="1:28" ht="30.75">
      <c r="A33" s="1">
        <v>31</v>
      </c>
      <c r="C33" s="111" t="s">
        <v>47</v>
      </c>
      <c r="D33" s="111"/>
      <c r="E33" s="111"/>
      <c r="F33" s="55">
        <v>13193582</v>
      </c>
      <c r="G33" s="91" t="s">
        <v>74</v>
      </c>
      <c r="H33" s="9">
        <v>0.29897462271580333</v>
      </c>
      <c r="I33" s="9">
        <v>0.19156871083680874</v>
      </c>
      <c r="J33" s="29" t="s">
        <v>30</v>
      </c>
      <c r="K33" s="55">
        <v>87951458</v>
      </c>
      <c r="L33" s="55">
        <v>0</v>
      </c>
      <c r="M33" s="55">
        <v>72711915</v>
      </c>
      <c r="N33" s="55">
        <v>2160884.6005662549</v>
      </c>
      <c r="O33" s="55">
        <v>162824257.60056627</v>
      </c>
      <c r="P33" s="55">
        <v>121183516.60952851</v>
      </c>
      <c r="Q33" s="55">
        <v>-41640740.991037756</v>
      </c>
      <c r="R33" s="55">
        <v>15834343</v>
      </c>
      <c r="S33" s="55">
        <v>50908076.256860569</v>
      </c>
      <c r="T33" s="55">
        <v>35073733.256860569</v>
      </c>
      <c r="U33" s="55">
        <v>-6567007.7341771871</v>
      </c>
      <c r="V33" s="55">
        <v>13193582</v>
      </c>
      <c r="W33" s="60"/>
      <c r="X33" s="58">
        <f t="shared" si="1"/>
        <v>13193582</v>
      </c>
      <c r="Y33" s="11"/>
      <c r="Z33" s="8">
        <f t="shared" si="0"/>
        <v>1</v>
      </c>
      <c r="AA33" s="37">
        <f t="shared" si="3"/>
        <v>13193582</v>
      </c>
      <c r="AB33" s="37">
        <f t="shared" si="4"/>
        <v>0</v>
      </c>
    </row>
    <row r="34" spans="1:28" ht="30.75">
      <c r="A34" s="1">
        <v>32</v>
      </c>
      <c r="C34" s="108" t="s">
        <v>27</v>
      </c>
      <c r="D34" s="108"/>
      <c r="E34" s="108"/>
      <c r="F34" s="51">
        <v>151600.91319410683</v>
      </c>
      <c r="G34" s="88" t="str">
        <f>"amt paid "&amp;V34</f>
        <v>amt paid 151600.92</v>
      </c>
      <c r="H34" s="33">
        <v>0.23754195437928896</v>
      </c>
      <c r="I34" s="33">
        <v>0.19088926495508729</v>
      </c>
      <c r="J34" s="43" t="s">
        <v>30</v>
      </c>
      <c r="K34" s="51">
        <v>37566702.919999994</v>
      </c>
      <c r="L34" s="51">
        <v>4686540.72</v>
      </c>
      <c r="M34" s="51">
        <v>814159</v>
      </c>
      <c r="N34" s="51">
        <v>2473.6409940187709</v>
      </c>
      <c r="O34" s="51">
        <v>43069876.280994013</v>
      </c>
      <c r="P34" s="51">
        <v>37358427.181969434</v>
      </c>
      <c r="Q34" s="51">
        <v>-5711449.0990245761</v>
      </c>
      <c r="R34" s="51">
        <v>2009113.79</v>
      </c>
      <c r="S34" s="51">
        <v>8350709.2524410579</v>
      </c>
      <c r="T34" s="51">
        <v>6341595.4624410579</v>
      </c>
      <c r="U34" s="51">
        <v>630146.36341648176</v>
      </c>
      <c r="V34" s="51">
        <v>151600.91999999998</v>
      </c>
      <c r="W34" s="60"/>
      <c r="X34" s="58">
        <f t="shared" si="1"/>
        <v>151600.91999999998</v>
      </c>
      <c r="Y34" s="34"/>
      <c r="Z34" s="35">
        <f t="shared" si="0"/>
        <v>0</v>
      </c>
      <c r="AA34" s="37"/>
      <c r="AB34" s="37">
        <f t="shared" si="4"/>
        <v>478545.44341648178</v>
      </c>
    </row>
    <row r="35" spans="1:28" ht="31.5" thickBot="1">
      <c r="A35" s="1">
        <v>33</v>
      </c>
      <c r="C35" s="112" t="s">
        <v>48</v>
      </c>
      <c r="D35" s="112"/>
      <c r="E35" s="112"/>
      <c r="F35" s="68">
        <v>84914.048737864083</v>
      </c>
      <c r="G35" s="92" t="str">
        <f t="shared" ref="G35" si="10">"amt paid "&amp;V35</f>
        <v>amt paid 84914.05</v>
      </c>
      <c r="H35" s="69" t="s">
        <v>52</v>
      </c>
      <c r="I35" s="69" t="s">
        <v>52</v>
      </c>
      <c r="J35" s="70" t="s">
        <v>28</v>
      </c>
      <c r="K35" s="68">
        <v>6133136.9400000004</v>
      </c>
      <c r="L35" s="68">
        <v>938717.43</v>
      </c>
      <c r="M35" s="68">
        <v>0</v>
      </c>
      <c r="N35" s="68">
        <v>-21146.647306306655</v>
      </c>
      <c r="O35" s="68">
        <v>7050707.7226936938</v>
      </c>
      <c r="P35" s="68">
        <v>5530202.7226588354</v>
      </c>
      <c r="Q35" s="68">
        <v>-1520505.000034858</v>
      </c>
      <c r="R35" s="68">
        <v>639958.35</v>
      </c>
      <c r="S35" s="68">
        <v>1658404.6617098153</v>
      </c>
      <c r="T35" s="68">
        <v>1018446.3117098153</v>
      </c>
      <c r="U35" s="68">
        <v>-502058.68832504272</v>
      </c>
      <c r="V35" s="68">
        <v>84914.05</v>
      </c>
      <c r="W35" s="60"/>
      <c r="X35" s="58">
        <f t="shared" si="1"/>
        <v>84914.05</v>
      </c>
      <c r="Y35" s="34"/>
      <c r="Z35" s="35">
        <f>IF(U35-V35&gt;0,,1)</f>
        <v>1</v>
      </c>
      <c r="AA35" s="37">
        <f t="shared" si="3"/>
        <v>84914.05</v>
      </c>
      <c r="AB35" s="37">
        <f t="shared" si="4"/>
        <v>0</v>
      </c>
    </row>
    <row r="36" spans="1:28" ht="32.25">
      <c r="A36" s="1">
        <v>34</v>
      </c>
      <c r="C36" s="109" t="s">
        <v>71</v>
      </c>
      <c r="D36" s="109"/>
      <c r="E36" s="109"/>
      <c r="F36" s="99">
        <v>934586</v>
      </c>
      <c r="G36" s="100" t="str">
        <f>"IMD limit $934,586"</f>
        <v>IMD limit $934,586</v>
      </c>
      <c r="H36" s="101">
        <v>0.19166994179626823</v>
      </c>
      <c r="I36" s="101">
        <v>1.0500687598059724</v>
      </c>
      <c r="J36" s="102" t="s">
        <v>30</v>
      </c>
      <c r="K36" s="99"/>
      <c r="L36" s="99"/>
      <c r="M36" s="99"/>
      <c r="N36" s="99"/>
      <c r="O36" s="99"/>
      <c r="P36" s="99"/>
      <c r="Q36" s="99"/>
      <c r="R36" s="99">
        <v>581395.27591780829</v>
      </c>
      <c r="S36" s="99">
        <v>17597798.528365068</v>
      </c>
      <c r="T36" s="99">
        <v>17016403.252447259</v>
      </c>
      <c r="U36" s="99">
        <v>17016403.252447259</v>
      </c>
      <c r="V36" s="99">
        <v>758670</v>
      </c>
      <c r="W36" s="40"/>
      <c r="X36" s="59">
        <f>V36</f>
        <v>758670</v>
      </c>
      <c r="Y36" s="11"/>
      <c r="Z36" s="42">
        <f t="shared" si="0"/>
        <v>0</v>
      </c>
      <c r="AA36" s="37"/>
      <c r="AB36" s="37">
        <f t="shared" ref="AB36" si="11">IF(AA36=0,U36-V36,0)</f>
        <v>16257733.252447259</v>
      </c>
    </row>
    <row r="37" spans="1:28" ht="8.25" customHeight="1">
      <c r="C37" s="44"/>
      <c r="D37" s="44"/>
      <c r="E37" s="44"/>
      <c r="F37" s="40"/>
      <c r="G37" s="93"/>
      <c r="H37" s="41"/>
      <c r="I37" s="41"/>
      <c r="J37" s="39"/>
      <c r="K37" s="40"/>
      <c r="L37" s="40"/>
      <c r="M37" s="40"/>
      <c r="N37" s="40"/>
      <c r="O37" s="40"/>
      <c r="P37" s="40"/>
      <c r="Q37" s="40"/>
      <c r="R37" s="40"/>
      <c r="S37" s="40"/>
      <c r="T37" s="40"/>
      <c r="U37" s="40"/>
      <c r="V37" s="40"/>
      <c r="W37" s="40"/>
    </row>
    <row r="38" spans="1:28" ht="21.75" customHeight="1">
      <c r="B38" s="71"/>
      <c r="C38" s="72" t="s">
        <v>29</v>
      </c>
      <c r="D38" s="71"/>
      <c r="E38" s="66"/>
      <c r="F38" s="73"/>
      <c r="G38" s="94"/>
      <c r="H38" s="74"/>
      <c r="I38" s="74"/>
      <c r="J38" s="75"/>
      <c r="K38" s="76"/>
      <c r="L38" s="76"/>
      <c r="M38" s="76"/>
      <c r="N38" s="76"/>
      <c r="O38" s="76"/>
      <c r="P38" s="76"/>
      <c r="Q38" s="76"/>
      <c r="R38" s="76"/>
      <c r="S38" s="76"/>
      <c r="T38" s="76"/>
      <c r="U38" s="76"/>
      <c r="V38" s="76"/>
      <c r="W38" s="25"/>
      <c r="AA38" s="38">
        <f>SUM(AA3:AA36)</f>
        <v>15514675.300167743</v>
      </c>
      <c r="AB38" s="38">
        <f>SUM(AB3:AB36)</f>
        <v>42806815.388112061</v>
      </c>
    </row>
    <row r="39" spans="1:28" s="14" customFormat="1" ht="44.25" customHeight="1">
      <c r="B39" s="71"/>
      <c r="C39" s="77" t="s">
        <v>60</v>
      </c>
      <c r="D39" s="113" t="s">
        <v>75</v>
      </c>
      <c r="E39" s="113"/>
      <c r="F39" s="113"/>
      <c r="G39" s="113"/>
      <c r="H39" s="113"/>
      <c r="I39" s="113"/>
      <c r="J39" s="113"/>
      <c r="K39" s="113"/>
      <c r="L39" s="113"/>
      <c r="M39" s="113"/>
      <c r="N39" s="113"/>
      <c r="O39" s="113"/>
      <c r="P39" s="113"/>
      <c r="Q39" s="113"/>
      <c r="R39" s="113"/>
      <c r="S39" s="113"/>
      <c r="T39" s="113"/>
      <c r="U39" s="113"/>
      <c r="V39" s="113"/>
      <c r="W39" s="25"/>
      <c r="X39" s="15">
        <f>SUM(X3:X36)</f>
        <v>19206584.175703127</v>
      </c>
      <c r="Y39" s="15">
        <f>SUM(Y3:Y36)</f>
        <v>128860.014296875</v>
      </c>
      <c r="Z39" s="103">
        <f>SUM(Z3:Z36)</f>
        <v>18</v>
      </c>
      <c r="AA39" s="14" t="s">
        <v>39</v>
      </c>
    </row>
    <row r="40" spans="1:28" s="14" customFormat="1" ht="6" customHeight="1">
      <c r="B40" s="71"/>
      <c r="C40" s="71"/>
      <c r="D40" s="71"/>
      <c r="E40" s="66"/>
      <c r="F40" s="71"/>
      <c r="G40" s="95"/>
      <c r="H40" s="74"/>
      <c r="I40" s="74"/>
      <c r="J40" s="75"/>
      <c r="K40" s="76"/>
      <c r="L40" s="76"/>
      <c r="M40" s="76"/>
      <c r="N40" s="76"/>
      <c r="O40" s="76"/>
      <c r="P40" s="76"/>
      <c r="Q40" s="76"/>
      <c r="R40" s="76"/>
      <c r="S40" s="76"/>
      <c r="T40" s="76"/>
      <c r="U40" s="76"/>
      <c r="V40" s="76"/>
      <c r="W40" s="67"/>
      <c r="X40" s="15"/>
      <c r="Y40" s="15"/>
    </row>
    <row r="41" spans="1:28" s="14" customFormat="1" ht="44.25" customHeight="1">
      <c r="B41" s="71"/>
      <c r="C41" s="77" t="s">
        <v>61</v>
      </c>
      <c r="D41" s="110" t="s">
        <v>76</v>
      </c>
      <c r="E41" s="110"/>
      <c r="F41" s="110"/>
      <c r="G41" s="110"/>
      <c r="H41" s="110"/>
      <c r="I41" s="110"/>
      <c r="J41" s="110"/>
      <c r="K41" s="110"/>
      <c r="L41" s="110"/>
      <c r="M41" s="110"/>
      <c r="N41" s="110"/>
      <c r="O41" s="110"/>
      <c r="P41" s="110"/>
      <c r="Q41" s="110"/>
      <c r="R41" s="110"/>
      <c r="S41" s="110"/>
      <c r="T41" s="110"/>
      <c r="U41" s="110"/>
      <c r="V41" s="110"/>
      <c r="W41" s="67"/>
      <c r="X41" s="18">
        <f>X40-X39</f>
        <v>-19206584.175703127</v>
      </c>
      <c r="Y41" s="16"/>
      <c r="Z41" s="15"/>
    </row>
    <row r="42" spans="1:28" s="14" customFormat="1" ht="6" customHeight="1">
      <c r="B42" s="71"/>
      <c r="C42" s="71"/>
      <c r="D42" s="71"/>
      <c r="E42" s="66"/>
      <c r="F42" s="71"/>
      <c r="G42" s="95"/>
      <c r="H42" s="74"/>
      <c r="I42" s="74"/>
      <c r="J42" s="75"/>
      <c r="K42" s="76"/>
      <c r="L42" s="76"/>
      <c r="M42" s="76"/>
      <c r="N42" s="76"/>
      <c r="O42" s="76"/>
      <c r="P42" s="76"/>
      <c r="Q42" s="76"/>
      <c r="R42" s="76"/>
      <c r="S42" s="76"/>
      <c r="T42" s="76"/>
      <c r="U42" s="76"/>
      <c r="V42" s="76"/>
      <c r="W42" s="25"/>
      <c r="X42" s="15"/>
      <c r="Y42" s="15"/>
    </row>
    <row r="43" spans="1:28" s="14" customFormat="1" ht="21.75" customHeight="1">
      <c r="B43" s="71"/>
      <c r="C43" s="77" t="s">
        <v>62</v>
      </c>
      <c r="D43" s="114" t="s">
        <v>59</v>
      </c>
      <c r="E43" s="114"/>
      <c r="F43" s="114"/>
      <c r="G43" s="114"/>
      <c r="H43" s="114"/>
      <c r="I43" s="114"/>
      <c r="J43" s="114"/>
      <c r="K43" s="114"/>
      <c r="L43" s="114"/>
      <c r="M43" s="114"/>
      <c r="N43" s="114"/>
      <c r="O43" s="114"/>
      <c r="P43" s="114"/>
      <c r="Q43" s="114"/>
      <c r="R43" s="114"/>
      <c r="S43" s="114"/>
      <c r="T43" s="114"/>
      <c r="U43" s="114"/>
      <c r="V43" s="114"/>
      <c r="W43" s="67"/>
      <c r="X43" s="25"/>
      <c r="Y43" s="16"/>
      <c r="Z43" s="15"/>
      <c r="AA43" s="104">
        <f>MIN($AA$3:$AA$36)</f>
        <v>1227.8068145000107</v>
      </c>
      <c r="AB43" s="14" t="s">
        <v>54</v>
      </c>
    </row>
    <row r="44" spans="1:28" s="14" customFormat="1" ht="6" customHeight="1">
      <c r="B44" s="71"/>
      <c r="C44" s="71"/>
      <c r="D44" s="71"/>
      <c r="E44" s="66"/>
      <c r="F44" s="71"/>
      <c r="G44" s="95"/>
      <c r="H44" s="74"/>
      <c r="I44" s="74"/>
      <c r="J44" s="75"/>
      <c r="K44" s="76"/>
      <c r="L44" s="76"/>
      <c r="M44" s="76"/>
      <c r="N44" s="76"/>
      <c r="O44" s="76"/>
      <c r="P44" s="76"/>
      <c r="Q44" s="76"/>
      <c r="R44" s="76"/>
      <c r="S44" s="76"/>
      <c r="T44" s="76"/>
      <c r="U44" s="76"/>
      <c r="V44" s="76"/>
      <c r="W44" s="67"/>
      <c r="X44" s="15"/>
      <c r="Y44" s="15"/>
    </row>
    <row r="45" spans="1:28" s="14" customFormat="1" ht="98.25" customHeight="1">
      <c r="B45" s="71"/>
      <c r="C45" s="77" t="s">
        <v>63</v>
      </c>
      <c r="D45" s="110" t="s">
        <v>67</v>
      </c>
      <c r="E45" s="110"/>
      <c r="F45" s="110"/>
      <c r="G45" s="110"/>
      <c r="H45" s="110"/>
      <c r="I45" s="110"/>
      <c r="J45" s="110"/>
      <c r="K45" s="110"/>
      <c r="L45" s="110"/>
      <c r="M45" s="110"/>
      <c r="N45" s="110"/>
      <c r="O45" s="110"/>
      <c r="P45" s="110"/>
      <c r="Q45" s="110"/>
      <c r="R45" s="110"/>
      <c r="S45" s="110"/>
      <c r="T45" s="110"/>
      <c r="U45" s="110"/>
      <c r="V45" s="110"/>
      <c r="W45" s="118" t="s">
        <v>65</v>
      </c>
      <c r="X45" s="25"/>
      <c r="Y45" s="16"/>
      <c r="Z45" s="15"/>
      <c r="AA45" s="105">
        <f>MAX($AA$3:$AA$36)</f>
        <v>13193582</v>
      </c>
      <c r="AB45" s="106" t="s">
        <v>53</v>
      </c>
    </row>
    <row r="46" spans="1:28" s="14" customFormat="1" ht="6" customHeight="1">
      <c r="B46" s="71"/>
      <c r="C46" s="78"/>
      <c r="D46" s="78"/>
      <c r="E46" s="79"/>
      <c r="F46" s="78"/>
      <c r="G46" s="96"/>
      <c r="H46" s="80"/>
      <c r="I46" s="80"/>
      <c r="J46" s="81"/>
      <c r="K46" s="82"/>
      <c r="L46" s="82"/>
      <c r="M46" s="82"/>
      <c r="N46" s="82"/>
      <c r="O46" s="82"/>
      <c r="P46" s="82"/>
      <c r="Q46" s="82"/>
      <c r="R46" s="82"/>
      <c r="S46" s="82"/>
      <c r="T46" s="82"/>
      <c r="U46" s="82"/>
      <c r="V46" s="82"/>
      <c r="W46" s="118"/>
      <c r="X46" s="25"/>
      <c r="Y46" s="16"/>
      <c r="Z46" s="15"/>
      <c r="AA46" s="104"/>
    </row>
    <row r="47" spans="1:28" s="14" customFormat="1" ht="21.75" customHeight="1">
      <c r="B47" s="71"/>
      <c r="C47" s="77" t="s">
        <v>70</v>
      </c>
      <c r="D47" s="114" t="s">
        <v>64</v>
      </c>
      <c r="E47" s="114"/>
      <c r="F47" s="114"/>
      <c r="G47" s="114"/>
      <c r="H47" s="114"/>
      <c r="I47" s="114"/>
      <c r="J47" s="114"/>
      <c r="K47" s="114"/>
      <c r="L47" s="114"/>
      <c r="M47" s="114"/>
      <c r="N47" s="114"/>
      <c r="O47" s="114"/>
      <c r="P47" s="114"/>
      <c r="Q47" s="114"/>
      <c r="R47" s="114"/>
      <c r="S47" s="114"/>
      <c r="T47" s="114"/>
      <c r="U47" s="114"/>
      <c r="V47" s="114"/>
      <c r="W47" s="118"/>
      <c r="X47" s="25"/>
      <c r="Y47" s="16"/>
      <c r="Z47" s="15"/>
      <c r="AA47" s="104">
        <f>SUM($AB$3:$AB$36)</f>
        <v>42806815.388112061</v>
      </c>
      <c r="AB47" s="14" t="s">
        <v>55</v>
      </c>
    </row>
    <row r="48" spans="1:28" s="14" customFormat="1" ht="6" customHeight="1">
      <c r="E48" s="13"/>
      <c r="G48" s="95"/>
      <c r="H48" s="20"/>
      <c r="I48" s="20"/>
      <c r="J48" s="30"/>
      <c r="K48" s="15"/>
      <c r="L48" s="15"/>
      <c r="M48" s="15"/>
      <c r="N48" s="15"/>
      <c r="O48" s="15"/>
      <c r="P48" s="15"/>
      <c r="Q48" s="15"/>
      <c r="R48" s="15"/>
      <c r="S48" s="15"/>
      <c r="T48" s="15"/>
      <c r="U48" s="15"/>
      <c r="V48" s="15"/>
      <c r="W48" s="118"/>
      <c r="X48" s="15"/>
      <c r="Y48" s="15"/>
    </row>
    <row r="49" spans="3:28" s="14" customFormat="1" ht="18.75">
      <c r="C49" s="77" t="s">
        <v>72</v>
      </c>
      <c r="D49" s="114" t="s">
        <v>79</v>
      </c>
      <c r="E49" s="114"/>
      <c r="F49" s="114"/>
      <c r="G49" s="114"/>
      <c r="H49" s="114"/>
      <c r="I49" s="114"/>
      <c r="J49" s="114"/>
      <c r="K49" s="114"/>
      <c r="L49" s="114"/>
      <c r="M49" s="114"/>
      <c r="N49" s="114"/>
      <c r="O49" s="114"/>
      <c r="P49" s="114"/>
      <c r="Q49" s="114"/>
      <c r="R49" s="114"/>
      <c r="S49" s="114"/>
      <c r="T49" s="114"/>
      <c r="U49" s="114"/>
      <c r="V49" s="114"/>
      <c r="W49" s="118"/>
      <c r="X49" s="15"/>
      <c r="Y49" s="15"/>
      <c r="AA49" s="15">
        <f>AA47-AB36</f>
        <v>26549082.135664802</v>
      </c>
      <c r="AB49" s="14" t="s">
        <v>56</v>
      </c>
    </row>
    <row r="50" spans="3:28" ht="5.25" customHeight="1"/>
    <row r="51" spans="3:28" ht="12.75" customHeight="1">
      <c r="AA51" s="45">
        <f>AB3+AB7+AB14+AB15+AB18+AB21+AB33</f>
        <v>374798.28279335023</v>
      </c>
      <c r="AB51" s="26" t="s">
        <v>57</v>
      </c>
    </row>
    <row r="52" spans="3:28" ht="39" customHeight="1">
      <c r="C52" s="14"/>
      <c r="D52" s="14"/>
      <c r="E52" s="13"/>
      <c r="F52" s="14"/>
      <c r="G52" s="95"/>
      <c r="H52" s="20"/>
      <c r="I52" s="20"/>
      <c r="J52" s="30"/>
      <c r="K52" s="15"/>
      <c r="L52" s="15"/>
      <c r="M52" s="15"/>
      <c r="N52" s="15"/>
      <c r="O52" s="15"/>
      <c r="P52" s="15"/>
      <c r="Q52" s="15"/>
      <c r="R52" s="15"/>
      <c r="S52" s="15"/>
      <c r="T52" s="15"/>
      <c r="U52" s="15"/>
      <c r="V52" s="64"/>
      <c r="AA52" s="1"/>
      <c r="AB52" s="1"/>
    </row>
    <row r="53" spans="3:28">
      <c r="AA53" s="2"/>
      <c r="AB53" s="1"/>
    </row>
    <row r="54" spans="3:28">
      <c r="AA54" s="2"/>
    </row>
    <row r="55" spans="3:28">
      <c r="AA55" s="38"/>
    </row>
    <row r="56" spans="3:28">
      <c r="AA56" s="38"/>
    </row>
    <row r="57" spans="3:28">
      <c r="AA57" s="17"/>
    </row>
  </sheetData>
  <mergeCells count="44">
    <mergeCell ref="D47:V47"/>
    <mergeCell ref="D49:V49"/>
    <mergeCell ref="W45:W49"/>
    <mergeCell ref="C5:E5"/>
    <mergeCell ref="C1:E1"/>
    <mergeCell ref="C29:E29"/>
    <mergeCell ref="C18:E18"/>
    <mergeCell ref="C19:E19"/>
    <mergeCell ref="C20:E20"/>
    <mergeCell ref="C21:E21"/>
    <mergeCell ref="C22:E22"/>
    <mergeCell ref="C23:E23"/>
    <mergeCell ref="C24:E24"/>
    <mergeCell ref="C25:E25"/>
    <mergeCell ref="C26:E26"/>
    <mergeCell ref="C27:E27"/>
    <mergeCell ref="X1:Y1"/>
    <mergeCell ref="C2:E2"/>
    <mergeCell ref="C3:E3"/>
    <mergeCell ref="C4:E4"/>
    <mergeCell ref="C17:E17"/>
    <mergeCell ref="C6:E6"/>
    <mergeCell ref="C7:E7"/>
    <mergeCell ref="C8:E8"/>
    <mergeCell ref="C9:E9"/>
    <mergeCell ref="C10:E10"/>
    <mergeCell ref="C11:E11"/>
    <mergeCell ref="C12:E12"/>
    <mergeCell ref="C13:E13"/>
    <mergeCell ref="C14:E14"/>
    <mergeCell ref="C15:E15"/>
    <mergeCell ref="C16:E16"/>
    <mergeCell ref="C28:E28"/>
    <mergeCell ref="C36:E36"/>
    <mergeCell ref="D45:V45"/>
    <mergeCell ref="C30:E30"/>
    <mergeCell ref="C31:E31"/>
    <mergeCell ref="C32:E32"/>
    <mergeCell ref="C33:E33"/>
    <mergeCell ref="C34:E34"/>
    <mergeCell ref="C35:E35"/>
    <mergeCell ref="D39:V39"/>
    <mergeCell ref="D41:V41"/>
    <mergeCell ref="D43:V43"/>
  </mergeCells>
  <printOptions horizontalCentered="1" verticalCentered="1"/>
  <pageMargins left="0.24" right="0.22" top="0.75" bottom="0" header="0.45" footer="0"/>
  <pageSetup scale="38" fitToHeight="2" orientation="landscape" r:id="rId1"/>
  <headerFooter>
    <oddHeader>&amp;C&amp;"Calibri,Bold"&amp;24UTAH DEPARTMENT OF HEALTH
HOSPITAL DATA SUMMARY SCHEDULE
FOR MEDICAID STATE PLAN RATE YEAR ENDED SEPTEMBER 30,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2006</vt:lpstr>
      <vt:lpstr>'2006'!Print_Area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Kerby</dc:creator>
  <cp:lastModifiedBy>Brent</cp:lastModifiedBy>
  <cp:lastPrinted>2010-10-21T18:36:11Z</cp:lastPrinted>
  <dcterms:created xsi:type="dcterms:W3CDTF">2010-06-07T15:32:21Z</dcterms:created>
  <dcterms:modified xsi:type="dcterms:W3CDTF">2010-12-22T00:05:09Z</dcterms:modified>
</cp:coreProperties>
</file>