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9080" windowHeight="8445"/>
  </bookViews>
  <sheets>
    <sheet name="2005" sheetId="9" r:id="rId1"/>
  </sheets>
  <definedNames>
    <definedName name="_xlnm.Print_Area" localSheetId="0">'2005'!$B$1:$W$46</definedName>
  </definedNames>
  <calcPr calcId="125725"/>
</workbook>
</file>

<file path=xl/calcChain.xml><?xml version="1.0" encoding="utf-8"?>
<calcChain xmlns="http://schemas.openxmlformats.org/spreadsheetml/2006/main">
  <c r="G3" i="9"/>
  <c r="G4" l="1"/>
  <c r="G5"/>
  <c r="G6"/>
  <c r="G7"/>
  <c r="G8"/>
  <c r="G9"/>
  <c r="G10"/>
  <c r="G11"/>
  <c r="G12"/>
  <c r="G13"/>
  <c r="G14"/>
  <c r="G15"/>
  <c r="G16"/>
  <c r="G17"/>
  <c r="G18"/>
  <c r="G19"/>
  <c r="G20"/>
  <c r="G21"/>
  <c r="G22"/>
  <c r="G23"/>
  <c r="G25"/>
  <c r="G26"/>
  <c r="G27"/>
  <c r="G28"/>
  <c r="G29"/>
  <c r="G31"/>
  <c r="G32"/>
  <c r="G33"/>
  <c r="X36" l="1"/>
  <c r="AB6"/>
  <c r="AB7"/>
  <c r="AB10"/>
  <c r="AB12"/>
  <c r="AB13"/>
  <c r="AB14"/>
  <c r="AB16"/>
  <c r="AB17"/>
  <c r="AB18"/>
  <c r="AB20"/>
  <c r="AB23"/>
  <c r="AB24"/>
  <c r="AB25"/>
  <c r="AB33"/>
  <c r="AB31"/>
  <c r="AB3"/>
  <c r="Z4" l="1"/>
  <c r="AA4" s="1"/>
  <c r="Z5"/>
  <c r="AA5" s="1"/>
  <c r="AB5" s="1"/>
  <c r="Z6"/>
  <c r="Z7"/>
  <c r="Z8"/>
  <c r="AA8" s="1"/>
  <c r="AB8" s="1"/>
  <c r="Z9"/>
  <c r="AA9" s="1"/>
  <c r="AB9" s="1"/>
  <c r="Z10"/>
  <c r="Z11"/>
  <c r="AA11" s="1"/>
  <c r="AB11" s="1"/>
  <c r="Z12"/>
  <c r="Z13"/>
  <c r="Z14"/>
  <c r="Z15"/>
  <c r="AA15" s="1"/>
  <c r="AB15" s="1"/>
  <c r="Z16"/>
  <c r="Z17"/>
  <c r="Z18"/>
  <c r="Z19"/>
  <c r="AA19" s="1"/>
  <c r="AB19" s="1"/>
  <c r="Z20"/>
  <c r="Z21"/>
  <c r="AA21" s="1"/>
  <c r="AB21" s="1"/>
  <c r="Z22"/>
  <c r="AA22" s="1"/>
  <c r="AB22" s="1"/>
  <c r="Z23"/>
  <c r="Z24"/>
  <c r="Z25"/>
  <c r="Z26"/>
  <c r="AA26" s="1"/>
  <c r="AB26" s="1"/>
  <c r="Z27"/>
  <c r="AA27" s="1"/>
  <c r="AB27" s="1"/>
  <c r="Z28"/>
  <c r="AA28" s="1"/>
  <c r="AB28" s="1"/>
  <c r="Z29"/>
  <c r="AA29" s="1"/>
  <c r="AB29" s="1"/>
  <c r="Z30"/>
  <c r="AA30" s="1"/>
  <c r="AB30" s="1"/>
  <c r="Z33"/>
  <c r="Z31"/>
  <c r="Z32"/>
  <c r="AA32" s="1"/>
  <c r="AB32" s="1"/>
  <c r="Z3"/>
  <c r="F26"/>
  <c r="F18"/>
  <c r="F7"/>
  <c r="X38"/>
  <c r="Y36"/>
  <c r="AA35" l="1"/>
  <c r="AA40"/>
  <c r="AA42"/>
  <c r="AA48"/>
  <c r="Z36"/>
  <c r="AB4"/>
  <c r="AA44" l="1"/>
  <c r="AA46" s="1"/>
  <c r="AB35"/>
</calcChain>
</file>

<file path=xl/sharedStrings.xml><?xml version="1.0" encoding="utf-8"?>
<sst xmlns="http://schemas.openxmlformats.org/spreadsheetml/2006/main" count="149" uniqueCount="78">
  <si>
    <t>Hospital Name</t>
  </si>
  <si>
    <t>Medicaid Inpatient Utilization Rate (MIUR)</t>
  </si>
  <si>
    <t>Low Income Utilization Rate (LIUR)</t>
  </si>
  <si>
    <t>IP/OP Medicaid Fee-For-Service (FFS) Basic Rate Payments</t>
  </si>
  <si>
    <t>IP/OP Medicaid Managed Care Organization Payments</t>
  </si>
  <si>
    <t>Supplemental /Enhanced Medicaid IP/OP Payments</t>
  </si>
  <si>
    <t>Total Cost of Care for Medicaid IP/OP Services</t>
  </si>
  <si>
    <t>Total Cost of IP/OP Care for the Uninsured</t>
  </si>
  <si>
    <t>Total Uninsured IP/OP Uncompensated Care Costs</t>
  </si>
  <si>
    <t>Medicaid Disproportionate Share Hospital Payments</t>
  </si>
  <si>
    <t>Allen Memorial Hospital</t>
  </si>
  <si>
    <t>American Fork Hospital</t>
  </si>
  <si>
    <t>Bear River Valley Hospital</t>
  </si>
  <si>
    <t>Beaver Valley Hospital</t>
  </si>
  <si>
    <t>Dixie Medical Center</t>
  </si>
  <si>
    <t>Fillmore Hospital</t>
  </si>
  <si>
    <t>Garfield Memorial Hospital</t>
  </si>
  <si>
    <t>Gunnison Valley Hospital</t>
  </si>
  <si>
    <t>Kane County Hospital</t>
  </si>
  <si>
    <t>Logan Regional Medical Center</t>
  </si>
  <si>
    <t>Milford Valley Memorial Hospital</t>
  </si>
  <si>
    <t>Mountain West Medical Center</t>
  </si>
  <si>
    <t>Orem Community Hospital</t>
  </si>
  <si>
    <t>Salt Lake Regional Medical Center</t>
  </si>
  <si>
    <t>San Juan Hospital</t>
  </si>
  <si>
    <t>Qualifies.  See Footnote (1)(a).</t>
  </si>
  <si>
    <t>Footnotes:</t>
  </si>
  <si>
    <t>Qualifies.  See Footnote (1)(b).</t>
  </si>
  <si>
    <t>Intermountain Medical Center</t>
  </si>
  <si>
    <t>Sanpete Valley Hospital</t>
  </si>
  <si>
    <t>State Defined DSH Qualification Criteria</t>
  </si>
  <si>
    <t>Central Valley Medical Center</t>
  </si>
  <si>
    <t>Total Medicaid In-State &amp; Out-Of-State Uncompensated Care</t>
  </si>
  <si>
    <t>Medicaid In-State Disproportionate Share Hospital Payments</t>
  </si>
  <si>
    <t>Medicaid OOS Disproportionate Share Hospital Payments</t>
  </si>
  <si>
    <t>*** Remove From Final Report***</t>
  </si>
  <si>
    <t>***Supplemental DSH payment of $348,986 exceeded cap of $311,339.</t>
  </si>
  <si>
    <t>of 31 - DSH payment exceeded UCC.</t>
  </si>
  <si>
    <t xml:space="preserve">Total 
Medicaid IP/OP Payments </t>
  </si>
  <si>
    <t>Ashley Regional Medical Center</t>
  </si>
  <si>
    <t>Delta Community Medical Center</t>
  </si>
  <si>
    <t>Primary Childrens Medical Center</t>
  </si>
  <si>
    <t>Castleview Hospital</t>
  </si>
  <si>
    <t>Heber Valley Medical Center</t>
  </si>
  <si>
    <t>Uintah Basin Medical Center</t>
  </si>
  <si>
    <t>University Of Utah Hospital</t>
  </si>
  <si>
    <t>Valley View Medical Center</t>
  </si>
  <si>
    <t>Brigham City Hospital</t>
  </si>
  <si>
    <t>St Mark's Hospital</t>
  </si>
  <si>
    <t>N/A.  See 
Footnote (1)(a).</t>
  </si>
  <si>
    <t>MAX</t>
  </si>
  <si>
    <t>MIN</t>
  </si>
  <si>
    <t>EXCESS UCC AGGREGATED</t>
  </si>
  <si>
    <t>EXCESS UCC AGGREGATED W/OUT IMD</t>
  </si>
  <si>
    <t>EXCESS UCC OF 7 RURALS &amp; UOFU</t>
  </si>
  <si>
    <t>Medicare Supplemental Settlements</t>
  </si>
  <si>
    <t>No applicable Section 1011 payments were reported by the hospitals.</t>
  </si>
  <si>
    <t>(1).</t>
  </si>
  <si>
    <t>(2).</t>
  </si>
  <si>
    <t>(3).</t>
  </si>
  <si>
    <t>(4).</t>
  </si>
  <si>
    <t>Negative uncompensated care amounts represent total payments in excess of total hospital service costs for Medicaid eligible and uninsured patients.</t>
  </si>
  <si>
    <t xml:space="preserve">EXHIBIT 1 </t>
  </si>
  <si>
    <t>Utah Valley Regional Medical Center</t>
  </si>
  <si>
    <t xml:space="preserve">Uncompensated care is defined as the amount of non-reimbursed costs written off as non-recoverable for services rendered to the uninsured, i.e., indigent, and includes the difference between cost of providing services to those eligible for medical assistance under the State Plan and the payment for those service by the State by Medicaid or any other payer. Uncompensated care also includes, costs incurred for inpatient and outpatient hospital services to individuals with no source of third-party coverage for the hospital services they receive, including all Section 1011 charges for undocumented aliens. The uninsured uncompensated amount cannot include amounts associated with unpaid co-pays or deductibles for individuals with third-party insurance or any other unreimbursed costs associated with inpatient or outpatient services provided to individuals with third-party coverage, but for which such third-party benefit package excludes such services.  Nor does uncompensated care cost include bad debt or payer discounts related to services furnished to individuals who have any form of insurance coverage. The total uncompensated care costs for the uninsured includes the cost of furnishing inpatient and outpatient services less any direct or indirect payments from or on behalf of such uninsured individuals.  Prisoners or other wards of the State are not considered uninsured.  </t>
  </si>
  <si>
    <t>Estimate of Hospital-Specific DSH Limit
(Footnote 2)</t>
  </si>
  <si>
    <t>Uninsured IP/OP Revenues
(Footnote 3)</t>
  </si>
  <si>
    <t>(5).</t>
  </si>
  <si>
    <t>Utah State Hospital (IMD)</t>
  </si>
  <si>
    <t>(6).</t>
  </si>
  <si>
    <t>Amt paid 10,936,245 less OOS pymt 49,620</t>
  </si>
  <si>
    <t>Amt paid 679,392 less OOS pymt 87,844</t>
  </si>
  <si>
    <t>Utah State Plan DSH qualification criteria: (a). Rural Hospitals- All rural hospitals qualify automatically for DSH.  (b). Urban, Teaching &amp; State Hospitals- Must have met I and II and either III or IV.  I. Have a MIUR of at least 1%.  II. Have at least 2 obstetricians who have staff privileges &amp; agree to provide these services to individuals entitled to "medical assistance".  III.  Have a MIUR of at least 14%.  IV. Have a LIUR of at least 25%.</t>
  </si>
  <si>
    <t xml:space="preserve">The hospital-specific DSH limit is the lower of the cap set forth in the State Plan or the actual DSH payment for the hospital's estimated uncompensated care costs less any out-of-state DSH monies paid for the Medicaid State Plan rate year ended September 30, 2005. The State IMD DSH limit is set under Federal Register Vol. 72, No. 248. </t>
  </si>
  <si>
    <t>See 
Footnote (6).</t>
  </si>
  <si>
    <t>Total Annual Uncompensated Care Costs
(Footnote 4 &amp; 5)</t>
  </si>
  <si>
    <t>Uncompensated care costs were limited to Medicaid in-state eligible patients.  The hospital was unable to identify specific Medicaid out-of-state and uninsured charges and payments.</t>
  </si>
  <si>
    <t>McKay Dee Hospital</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</si>
</sst>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3" formatCode="_(* #,##0.00_);_(* \(#,##0.00\);_(* &quot;-&quot;??_);_(@_)"/>
    <numFmt numFmtId="164" formatCode="0_);\(0\)"/>
    <numFmt numFmtId="165" formatCode="_(* #,##0.00_);_(* \(#,##0.00\);_(* &quot;-&quot;_);_(@_)"/>
  </numFmts>
  <fonts count="31">
    <font>
      <sz val="11"/>
      <color theme="1"/>
      <name val="Times New Roman"/>
      <family val="2"/>
    </font>
    <font>
      <sz val="11"/>
      <color theme="1"/>
      <name val="Times New Roman"/>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name val="Calibri"/>
      <family val="2"/>
      <scheme val="minor"/>
    </font>
    <font>
      <sz val="11"/>
      <color theme="1"/>
      <name val="Calibri"/>
      <family val="2"/>
      <scheme val="minor"/>
    </font>
    <font>
      <sz val="12"/>
      <color theme="1"/>
      <name val="Calibri"/>
      <family val="2"/>
      <scheme val="minor"/>
    </font>
    <font>
      <sz val="20"/>
      <color theme="1"/>
      <name val="Calibri"/>
      <family val="2"/>
      <scheme val="minor"/>
    </font>
    <font>
      <sz val="14"/>
      <color theme="1"/>
      <name val="Calibri"/>
      <family val="2"/>
      <scheme val="minor"/>
    </font>
    <font>
      <sz val="14"/>
      <name val="Calibri"/>
      <family val="2"/>
      <scheme val="minor"/>
    </font>
    <font>
      <b/>
      <sz val="26"/>
      <color theme="1"/>
      <name val="Calibri"/>
      <family val="2"/>
      <scheme val="minor"/>
    </font>
    <font>
      <b/>
      <u/>
      <sz val="14"/>
      <name val="Calibri"/>
      <family val="2"/>
      <scheme val="minor"/>
    </font>
    <font>
      <sz val="9"/>
      <name val="Calibri"/>
      <family val="2"/>
      <scheme val="minor"/>
    </font>
    <font>
      <sz val="9"/>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34">
    <xf numFmtId="0" fontId="0" fillId="0" borderId="0"/>
    <xf numFmtId="43" fontId="1" fillId="0" borderId="0" applyFont="0" applyFill="0" applyBorder="0" applyAlignment="0" applyProtection="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23" borderId="7" applyNumberFormat="0" applyFont="0" applyAlignment="0" applyProtection="0"/>
    <xf numFmtId="0" fontId="16" fillId="20" borderId="8" applyNumberFormat="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 fillId="2" borderId="0" applyNumberFormat="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22" fillId="0" borderId="0" xfId="0" applyFont="1"/>
    <xf numFmtId="43" fontId="22" fillId="0" borderId="0" xfId="0" applyNumberFormat="1" applyFont="1"/>
    <xf numFmtId="0" fontId="22" fillId="0" borderId="0" xfId="0" applyFont="1" applyFill="1"/>
    <xf numFmtId="164" fontId="22" fillId="0" borderId="0" xfId="0" applyNumberFormat="1" applyFont="1" applyAlignment="1">
      <alignment horizontal="center"/>
    </xf>
    <xf numFmtId="164" fontId="22" fillId="0" borderId="0" xfId="0" applyNumberFormat="1" applyFont="1" applyFill="1" applyAlignment="1">
      <alignment horizontal="center"/>
    </xf>
    <xf numFmtId="0" fontId="22" fillId="0" borderId="0" xfId="0" applyFont="1" applyAlignment="1">
      <alignment horizontal="center" wrapText="1"/>
    </xf>
    <xf numFmtId="43" fontId="22" fillId="0" borderId="11" xfId="0" applyNumberFormat="1" applyFont="1" applyBorder="1"/>
    <xf numFmtId="41" fontId="22" fillId="0" borderId="11" xfId="1" applyNumberFormat="1" applyFont="1" applyFill="1" applyBorder="1" applyAlignment="1">
      <alignment horizontal="right"/>
    </xf>
    <xf numFmtId="10" fontId="22" fillId="0" borderId="11" xfId="133" applyNumberFormat="1" applyFont="1" applyBorder="1" applyAlignment="1">
      <alignment horizontal="right" wrapText="1"/>
    </xf>
    <xf numFmtId="43" fontId="22" fillId="0" borderId="11" xfId="1" applyNumberFormat="1" applyFont="1" applyBorder="1"/>
    <xf numFmtId="43" fontId="22" fillId="24" borderId="11" xfId="0" applyNumberFormat="1" applyFont="1" applyFill="1" applyBorder="1"/>
    <xf numFmtId="10" fontId="22" fillId="24" borderId="11" xfId="133" applyNumberFormat="1" applyFont="1" applyFill="1" applyBorder="1" applyAlignment="1">
      <alignment horizontal="right" wrapText="1"/>
    </xf>
    <xf numFmtId="0" fontId="22" fillId="24" borderId="0" xfId="0" applyFont="1" applyFill="1" applyBorder="1"/>
    <xf numFmtId="0" fontId="22" fillId="24" borderId="0" xfId="0" applyFont="1" applyFill="1"/>
    <xf numFmtId="43" fontId="22" fillId="24" borderId="0" xfId="0" applyNumberFormat="1" applyFont="1" applyFill="1"/>
    <xf numFmtId="43" fontId="22" fillId="24" borderId="0" xfId="0" applyNumberFormat="1" applyFont="1" applyFill="1" applyAlignment="1">
      <alignment horizontal="right"/>
    </xf>
    <xf numFmtId="41" fontId="22" fillId="0" borderId="0" xfId="0" applyNumberFormat="1" applyFont="1" applyFill="1"/>
    <xf numFmtId="43" fontId="22" fillId="0" borderId="0" xfId="0" applyNumberFormat="1" applyFont="1" applyFill="1"/>
    <xf numFmtId="0" fontId="22" fillId="0" borderId="0" xfId="0" applyFont="1" applyBorder="1"/>
    <xf numFmtId="10" fontId="22" fillId="24" borderId="0" xfId="133" applyNumberFormat="1" applyFont="1" applyFill="1" applyAlignment="1">
      <alignment horizontal="center" wrapText="1"/>
    </xf>
    <xf numFmtId="10" fontId="22" fillId="0" borderId="0" xfId="133" applyNumberFormat="1" applyFont="1" applyAlignment="1">
      <alignment horizontal="center" wrapText="1"/>
    </xf>
    <xf numFmtId="164" fontId="22" fillId="24" borderId="0" xfId="0" applyNumberFormat="1" applyFont="1" applyFill="1" applyAlignment="1">
      <alignment horizontal="center"/>
    </xf>
    <xf numFmtId="164" fontId="22" fillId="24" borderId="0" xfId="0" applyNumberFormat="1" applyFont="1" applyFill="1" applyAlignment="1">
      <alignment horizontal="center" wrapText="1"/>
    </xf>
    <xf numFmtId="164" fontId="22" fillId="24" borderId="0" xfId="133" applyNumberFormat="1" applyFont="1" applyFill="1" applyAlignment="1">
      <alignment horizontal="center" wrapText="1"/>
    </xf>
    <xf numFmtId="43" fontId="22" fillId="24" borderId="0" xfId="0" applyNumberFormat="1" applyFont="1" applyFill="1" applyBorder="1"/>
    <xf numFmtId="0" fontId="22" fillId="0" borderId="0" xfId="0" applyFont="1" applyAlignment="1">
      <alignment vertical="top"/>
    </xf>
    <xf numFmtId="10" fontId="22" fillId="0" borderId="11" xfId="133" applyNumberFormat="1" applyFont="1" applyBorder="1" applyAlignment="1">
      <alignment horizontal="center" wrapText="1"/>
    </xf>
    <xf numFmtId="0" fontId="22" fillId="0" borderId="11" xfId="0" applyFont="1" applyBorder="1" applyAlignment="1">
      <alignment horizontal="center" wrapText="1"/>
    </xf>
    <xf numFmtId="0" fontId="22" fillId="24" borderId="11" xfId="0" applyFont="1" applyFill="1" applyBorder="1" applyAlignment="1">
      <alignment horizontal="center" wrapText="1"/>
    </xf>
    <xf numFmtId="0" fontId="22" fillId="24" borderId="0" xfId="0" applyFont="1" applyFill="1" applyAlignment="1">
      <alignment horizontal="center" wrapText="1"/>
    </xf>
    <xf numFmtId="0" fontId="22" fillId="25" borderId="11" xfId="0" applyFont="1" applyFill="1" applyBorder="1" applyAlignment="1">
      <alignment horizontal="center" wrapText="1"/>
    </xf>
    <xf numFmtId="10" fontId="22" fillId="25" borderId="11" xfId="133" applyNumberFormat="1" applyFont="1" applyFill="1" applyBorder="1" applyAlignment="1">
      <alignment horizontal="center" wrapText="1"/>
    </xf>
    <xf numFmtId="43" fontId="22" fillId="25" borderId="11" xfId="0" applyNumberFormat="1" applyFont="1" applyFill="1" applyBorder="1" applyAlignment="1">
      <alignment horizontal="center" wrapText="1"/>
    </xf>
    <xf numFmtId="10" fontId="22" fillId="25" borderId="11" xfId="133" applyNumberFormat="1" applyFont="1" applyFill="1" applyBorder="1" applyAlignment="1">
      <alignment horizontal="right" wrapText="1"/>
    </xf>
    <xf numFmtId="43" fontId="22" fillId="25" borderId="11" xfId="0" applyNumberFormat="1" applyFont="1" applyFill="1" applyBorder="1"/>
    <xf numFmtId="41" fontId="22" fillId="25" borderId="11" xfId="1" applyNumberFormat="1" applyFont="1" applyFill="1" applyBorder="1" applyAlignment="1">
      <alignment horizontal="right"/>
    </xf>
    <xf numFmtId="0" fontId="22" fillId="25" borderId="0" xfId="0" applyFont="1" applyFill="1" applyBorder="1" applyAlignment="1">
      <alignment horizontal="center" wrapText="1"/>
    </xf>
    <xf numFmtId="165" fontId="22" fillId="0" borderId="0" xfId="1" applyNumberFormat="1" applyFont="1" applyFill="1" applyBorder="1" applyAlignment="1">
      <alignment horizontal="right"/>
    </xf>
    <xf numFmtId="165" fontId="22" fillId="0" borderId="0" xfId="0" applyNumberFormat="1" applyFont="1" applyFill="1"/>
    <xf numFmtId="0" fontId="22" fillId="24" borderId="0" xfId="0" applyFont="1" applyFill="1" applyBorder="1" applyAlignment="1">
      <alignment horizontal="center" wrapText="1"/>
    </xf>
    <xf numFmtId="41" fontId="22" fillId="24" borderId="0" xfId="0" applyNumberFormat="1" applyFont="1" applyFill="1" applyBorder="1" applyAlignment="1">
      <alignment horizontal="right"/>
    </xf>
    <xf numFmtId="10" fontId="22" fillId="24" borderId="0" xfId="133" applyNumberFormat="1" applyFont="1" applyFill="1" applyBorder="1" applyAlignment="1">
      <alignment horizontal="right" wrapText="1"/>
    </xf>
    <xf numFmtId="41" fontId="22" fillId="24" borderId="11" xfId="1" applyNumberFormat="1" applyFont="1" applyFill="1" applyBorder="1" applyAlignment="1">
      <alignment horizontal="right"/>
    </xf>
    <xf numFmtId="0" fontId="22" fillId="25" borderId="11" xfId="0" applyFont="1" applyFill="1" applyBorder="1" applyAlignment="1">
      <alignment horizontal="center" wrapText="1"/>
    </xf>
    <xf numFmtId="0" fontId="21" fillId="24" borderId="0" xfId="0" applyFont="1" applyFill="1" applyBorder="1" applyAlignment="1">
      <alignment horizontal="center" wrapText="1"/>
    </xf>
    <xf numFmtId="43" fontId="22" fillId="0" borderId="0" xfId="1" applyFont="1" applyFill="1" applyAlignment="1">
      <alignment vertical="top"/>
    </xf>
    <xf numFmtId="43" fontId="22" fillId="0" borderId="0" xfId="0" applyNumberFormat="1" applyFont="1" applyBorder="1"/>
    <xf numFmtId="0" fontId="23" fillId="25" borderId="11" xfId="0" applyFont="1" applyFill="1" applyBorder="1" applyAlignment="1">
      <alignment horizontal="center" wrapText="1"/>
    </xf>
    <xf numFmtId="10" fontId="23" fillId="25" borderId="11" xfId="133" applyNumberFormat="1" applyFont="1" applyFill="1" applyBorder="1" applyAlignment="1">
      <alignment horizontal="center" wrapText="1"/>
    </xf>
    <xf numFmtId="43" fontId="23" fillId="25" borderId="11" xfId="0" applyNumberFormat="1" applyFont="1" applyFill="1" applyBorder="1" applyAlignment="1">
      <alignment horizontal="center" wrapText="1"/>
    </xf>
    <xf numFmtId="42" fontId="23" fillId="0" borderId="11" xfId="0" applyNumberFormat="1" applyFont="1" applyBorder="1" applyAlignment="1">
      <alignment horizontal="right"/>
    </xf>
    <xf numFmtId="41" fontId="23" fillId="25" borderId="11" xfId="0" applyNumberFormat="1" applyFont="1" applyFill="1" applyBorder="1" applyAlignment="1">
      <alignment horizontal="right"/>
    </xf>
    <xf numFmtId="41" fontId="23" fillId="0" borderId="11" xfId="0" applyNumberFormat="1" applyFont="1" applyBorder="1" applyAlignment="1">
      <alignment horizontal="right"/>
    </xf>
    <xf numFmtId="41" fontId="23" fillId="0" borderId="11" xfId="0" applyNumberFormat="1" applyFont="1" applyFill="1" applyBorder="1" applyAlignment="1">
      <alignment horizontal="right"/>
    </xf>
    <xf numFmtId="41" fontId="23" fillId="0" borderId="11" xfId="1" applyNumberFormat="1" applyFont="1" applyBorder="1" applyAlignment="1">
      <alignment horizontal="right"/>
    </xf>
    <xf numFmtId="41" fontId="23" fillId="24" borderId="11" xfId="0" applyNumberFormat="1" applyFont="1" applyFill="1" applyBorder="1" applyAlignment="1">
      <alignment horizontal="right"/>
    </xf>
    <xf numFmtId="164" fontId="22" fillId="24" borderId="0" xfId="0" applyNumberFormat="1" applyFont="1" applyFill="1" applyBorder="1" applyAlignment="1">
      <alignment horizontal="center"/>
    </xf>
    <xf numFmtId="43" fontId="22" fillId="25" borderId="12" xfId="0" applyNumberFormat="1" applyFont="1" applyFill="1" applyBorder="1" applyAlignment="1">
      <alignment horizontal="center" wrapText="1"/>
    </xf>
    <xf numFmtId="43" fontId="22" fillId="0" borderId="12" xfId="0" applyNumberFormat="1" applyFont="1" applyBorder="1"/>
    <xf numFmtId="43" fontId="22" fillId="25" borderId="12" xfId="0" applyNumberFormat="1" applyFont="1" applyFill="1" applyBorder="1"/>
    <xf numFmtId="43" fontId="22" fillId="0" borderId="12" xfId="1" applyNumberFormat="1" applyFont="1" applyBorder="1"/>
    <xf numFmtId="43" fontId="22" fillId="24" borderId="12" xfId="0" applyNumberFormat="1" applyFont="1" applyFill="1" applyBorder="1"/>
    <xf numFmtId="41" fontId="23" fillId="24" borderId="0" xfId="0" applyNumberFormat="1" applyFont="1" applyFill="1" applyBorder="1" applyAlignment="1">
      <alignment horizontal="right"/>
    </xf>
    <xf numFmtId="43" fontId="23" fillId="24" borderId="0" xfId="0" applyNumberFormat="1" applyFont="1" applyFill="1" applyBorder="1" applyAlignment="1">
      <alignment horizontal="center" wrapText="1"/>
    </xf>
    <xf numFmtId="42" fontId="23" fillId="24" borderId="0" xfId="0" applyNumberFormat="1" applyFont="1" applyFill="1" applyBorder="1" applyAlignment="1">
      <alignment horizontal="right"/>
    </xf>
    <xf numFmtId="41" fontId="23" fillId="24" borderId="0" xfId="1" applyNumberFormat="1" applyFont="1" applyFill="1" applyBorder="1" applyAlignment="1">
      <alignment horizontal="right"/>
    </xf>
    <xf numFmtId="43" fontId="27" fillId="24" borderId="0" xfId="0" applyNumberFormat="1" applyFont="1" applyFill="1" applyAlignment="1">
      <alignment horizontal="right" vertical="top" textRotation="180"/>
    </xf>
    <xf numFmtId="0" fontId="24" fillId="24" borderId="0" xfId="0" applyFont="1" applyFill="1" applyAlignment="1">
      <alignment textRotation="180"/>
    </xf>
    <xf numFmtId="43" fontId="27" fillId="24" borderId="0" xfId="0" applyNumberFormat="1" applyFont="1" applyFill="1" applyBorder="1" applyAlignment="1">
      <alignment vertical="top" textRotation="180"/>
    </xf>
    <xf numFmtId="41" fontId="23" fillId="24" borderId="14" xfId="0" applyNumberFormat="1" applyFont="1" applyFill="1" applyBorder="1" applyAlignment="1">
      <alignment horizontal="right"/>
    </xf>
    <xf numFmtId="41" fontId="23" fillId="25" borderId="13" xfId="0" applyNumberFormat="1" applyFont="1" applyFill="1" applyBorder="1" applyAlignment="1">
      <alignment horizontal="right"/>
    </xf>
    <xf numFmtId="10" fontId="22" fillId="25" borderId="13" xfId="133" applyNumberFormat="1" applyFont="1" applyFill="1" applyBorder="1" applyAlignment="1">
      <alignment horizontal="center" wrapText="1"/>
    </xf>
    <xf numFmtId="0" fontId="22" fillId="25" borderId="13" xfId="0" applyFont="1" applyFill="1" applyBorder="1" applyAlignment="1">
      <alignment horizontal="center" wrapText="1"/>
    </xf>
    <xf numFmtId="0" fontId="25" fillId="24" borderId="0" xfId="0" applyFont="1" applyFill="1"/>
    <xf numFmtId="0" fontId="28" fillId="24" borderId="0" xfId="0" applyFont="1" applyFill="1" applyAlignment="1">
      <alignment horizontal="left" vertical="top"/>
    </xf>
    <xf numFmtId="0" fontId="25" fillId="24" borderId="0" xfId="0" applyFont="1" applyFill="1" applyBorder="1"/>
    <xf numFmtId="0" fontId="26" fillId="24" borderId="0" xfId="0" applyFont="1" applyFill="1"/>
    <xf numFmtId="10" fontId="25" fillId="24" borderId="0" xfId="133" applyNumberFormat="1" applyFont="1" applyFill="1" applyAlignment="1">
      <alignment horizontal="center" wrapText="1"/>
    </xf>
    <xf numFmtId="0" fontId="25" fillId="24" borderId="0" xfId="0" applyFont="1" applyFill="1" applyAlignment="1">
      <alignment horizontal="center" wrapText="1"/>
    </xf>
    <xf numFmtId="43" fontId="25" fillId="24" borderId="0" xfId="0" applyNumberFormat="1" applyFont="1" applyFill="1"/>
    <xf numFmtId="43" fontId="25" fillId="24" borderId="0" xfId="0" applyNumberFormat="1" applyFont="1" applyFill="1" applyAlignment="1">
      <alignment vertical="center"/>
    </xf>
    <xf numFmtId="41" fontId="25" fillId="24" borderId="0" xfId="0" applyNumberFormat="1" applyFont="1" applyFill="1" applyAlignment="1">
      <alignment vertical="top"/>
    </xf>
    <xf numFmtId="0" fontId="25" fillId="24" borderId="0" xfId="0" applyFont="1" applyFill="1" applyAlignment="1">
      <alignment vertical="top"/>
    </xf>
    <xf numFmtId="0" fontId="25" fillId="24" borderId="0" xfId="0" applyFont="1" applyFill="1" applyBorder="1" applyAlignment="1">
      <alignment vertical="top"/>
    </xf>
    <xf numFmtId="10" fontId="25" fillId="24" borderId="0" xfId="133" applyNumberFormat="1" applyFont="1" applyFill="1" applyAlignment="1">
      <alignment horizontal="center" vertical="top" wrapText="1"/>
    </xf>
    <xf numFmtId="0" fontId="25" fillId="24" borderId="0" xfId="0" applyFont="1" applyFill="1" applyAlignment="1">
      <alignment horizontal="center" vertical="top" wrapText="1"/>
    </xf>
    <xf numFmtId="43" fontId="25" fillId="24" borderId="0" xfId="0" applyNumberFormat="1" applyFont="1" applyFill="1" applyAlignment="1">
      <alignment vertical="top"/>
    </xf>
    <xf numFmtId="10" fontId="23" fillId="24" borderId="14" xfId="133" applyNumberFormat="1" applyFont="1" applyFill="1" applyBorder="1" applyAlignment="1">
      <alignment horizontal="right" wrapText="1"/>
    </xf>
    <xf numFmtId="0" fontId="23" fillId="24" borderId="14" xfId="0" applyFont="1" applyFill="1" applyBorder="1" applyAlignment="1">
      <alignment horizontal="center" wrapText="1"/>
    </xf>
    <xf numFmtId="165" fontId="22" fillId="0" borderId="0" xfId="0" applyNumberFormat="1" applyFont="1" applyFill="1" applyAlignment="1">
      <alignment vertical="top"/>
    </xf>
    <xf numFmtId="164" fontId="30" fillId="24" borderId="0" xfId="0" applyNumberFormat="1" applyFont="1" applyFill="1" applyAlignment="1">
      <alignment horizontal="center" wrapText="1"/>
    </xf>
    <xf numFmtId="0" fontId="30" fillId="25" borderId="11" xfId="0" applyFont="1" applyFill="1" applyBorder="1" applyAlignment="1">
      <alignment horizontal="center" wrapText="1"/>
    </xf>
    <xf numFmtId="42" fontId="30" fillId="26" borderId="11" xfId="0" applyNumberFormat="1" applyFont="1" applyFill="1" applyBorder="1" applyAlignment="1">
      <alignment horizontal="right" wrapText="1"/>
    </xf>
    <xf numFmtId="41" fontId="30" fillId="25" borderId="11" xfId="0" applyNumberFormat="1" applyFont="1" applyFill="1" applyBorder="1" applyAlignment="1">
      <alignment horizontal="right" wrapText="1"/>
    </xf>
    <xf numFmtId="41" fontId="30" fillId="0" borderId="11" xfId="0" applyNumberFormat="1" applyFont="1" applyBorder="1" applyAlignment="1">
      <alignment horizontal="right" wrapText="1"/>
    </xf>
    <xf numFmtId="41" fontId="30" fillId="0" borderId="11" xfId="1" applyNumberFormat="1" applyFont="1" applyBorder="1" applyAlignment="1">
      <alignment horizontal="right" wrapText="1"/>
    </xf>
    <xf numFmtId="41" fontId="30" fillId="24" borderId="11" xfId="0" applyNumberFormat="1" applyFont="1" applyFill="1" applyBorder="1" applyAlignment="1">
      <alignment horizontal="right" wrapText="1"/>
    </xf>
    <xf numFmtId="41" fontId="30" fillId="26" borderId="11" xfId="0" applyNumberFormat="1" applyFont="1" applyFill="1" applyBorder="1" applyAlignment="1">
      <alignment horizontal="right" wrapText="1"/>
    </xf>
    <xf numFmtId="41" fontId="30" fillId="25" borderId="13" xfId="0" applyNumberFormat="1" applyFont="1" applyFill="1" applyBorder="1" applyAlignment="1">
      <alignment horizontal="right" wrapText="1"/>
    </xf>
    <xf numFmtId="41" fontId="30" fillId="24" borderId="0" xfId="0" applyNumberFormat="1" applyFont="1" applyFill="1" applyBorder="1" applyAlignment="1">
      <alignment horizontal="right" wrapText="1"/>
    </xf>
    <xf numFmtId="0" fontId="29" fillId="24" borderId="0" xfId="0" applyFont="1" applyFill="1" applyAlignment="1">
      <alignment wrapText="1"/>
    </xf>
    <xf numFmtId="0" fontId="30" fillId="24" borderId="0" xfId="0" applyFont="1" applyFill="1" applyAlignment="1">
      <alignment wrapText="1"/>
    </xf>
    <xf numFmtId="0" fontId="30" fillId="24" borderId="0" xfId="0" applyFont="1" applyFill="1" applyAlignment="1">
      <alignment vertical="top" wrapText="1"/>
    </xf>
    <xf numFmtId="0" fontId="30" fillId="0" borderId="0" xfId="0" applyFont="1" applyAlignment="1">
      <alignment wrapText="1"/>
    </xf>
    <xf numFmtId="42" fontId="30" fillId="27" borderId="11" xfId="0" applyNumberFormat="1" applyFont="1" applyFill="1" applyBorder="1" applyAlignment="1">
      <alignment horizontal="right" wrapText="1"/>
    </xf>
    <xf numFmtId="42" fontId="23" fillId="0" borderId="11" xfId="0" applyNumberFormat="1" applyFont="1" applyFill="1" applyBorder="1" applyAlignment="1">
      <alignment horizontal="right"/>
    </xf>
    <xf numFmtId="41" fontId="23" fillId="25" borderId="11" xfId="0" applyNumberFormat="1" applyFont="1" applyFill="1" applyBorder="1" applyAlignment="1">
      <alignment horizontal="center" wrapText="1"/>
    </xf>
    <xf numFmtId="0" fontId="25" fillId="0" borderId="0" xfId="0" applyFont="1" applyFill="1"/>
    <xf numFmtId="41" fontId="25" fillId="0" borderId="0" xfId="0" applyNumberFormat="1" applyFont="1" applyFill="1" applyAlignment="1">
      <alignment vertical="top"/>
    </xf>
    <xf numFmtId="43" fontId="22" fillId="0" borderId="0" xfId="0" applyNumberFormat="1" applyFont="1" applyFill="1" applyBorder="1"/>
    <xf numFmtId="0" fontId="25" fillId="0" borderId="0" xfId="0" applyFont="1" applyFill="1" applyBorder="1"/>
    <xf numFmtId="0" fontId="30" fillId="0" borderId="0" xfId="0" applyFont="1" applyFill="1" applyAlignment="1">
      <alignment wrapText="1"/>
    </xf>
    <xf numFmtId="10" fontId="25" fillId="0" borderId="0" xfId="133" applyNumberFormat="1" applyFont="1" applyFill="1" applyAlignment="1">
      <alignment horizontal="center" wrapText="1"/>
    </xf>
    <xf numFmtId="0" fontId="25" fillId="0" borderId="0" xfId="0" applyFont="1" applyFill="1" applyAlignment="1">
      <alignment horizontal="center" wrapText="1"/>
    </xf>
    <xf numFmtId="43" fontId="25" fillId="0" borderId="0" xfId="0" applyNumberFormat="1" applyFont="1" applyFill="1"/>
    <xf numFmtId="43" fontId="27" fillId="0" borderId="0" xfId="0" applyNumberFormat="1" applyFont="1" applyFill="1" applyBorder="1" applyAlignment="1">
      <alignment vertical="top" textRotation="180"/>
    </xf>
    <xf numFmtId="43" fontId="22" fillId="0" borderId="0" xfId="1" applyNumberFormat="1" applyFont="1" applyFill="1" applyAlignment="1">
      <alignment vertical="top"/>
    </xf>
    <xf numFmtId="43" fontId="22" fillId="0" borderId="0" xfId="0" applyNumberFormat="1" applyFont="1" applyFill="1" applyAlignment="1">
      <alignment horizontal="right"/>
    </xf>
    <xf numFmtId="43" fontId="27" fillId="24" borderId="0" xfId="0" applyNumberFormat="1" applyFont="1" applyFill="1" applyBorder="1" applyAlignment="1">
      <alignment horizontal="right" vertical="top" textRotation="180"/>
    </xf>
    <xf numFmtId="0" fontId="26" fillId="25" borderId="11" xfId="0" applyFont="1" applyFill="1" applyBorder="1" applyAlignment="1">
      <alignment horizontal="left" wrapText="1"/>
    </xf>
    <xf numFmtId="0" fontId="26" fillId="24" borderId="11" xfId="0" applyFont="1" applyFill="1" applyBorder="1" applyAlignment="1">
      <alignment horizontal="left" wrapText="1"/>
    </xf>
    <xf numFmtId="0" fontId="26" fillId="25" borderId="13" xfId="0" applyFont="1" applyFill="1" applyBorder="1" applyAlignment="1">
      <alignment horizontal="left" wrapText="1"/>
    </xf>
    <xf numFmtId="0" fontId="26" fillId="24" borderId="14" xfId="0" applyFont="1" applyFill="1" applyBorder="1" applyAlignment="1">
      <alignment horizontal="left" wrapText="1"/>
    </xf>
    <xf numFmtId="0" fontId="26" fillId="0" borderId="0" xfId="0" applyFont="1" applyFill="1" applyAlignment="1">
      <alignment horizontal="left" vertical="top" wrapText="1"/>
    </xf>
    <xf numFmtId="0" fontId="26" fillId="24" borderId="0" xfId="0" applyFont="1" applyFill="1" applyAlignment="1">
      <alignment horizontal="left" vertical="top"/>
    </xf>
    <xf numFmtId="0" fontId="26" fillId="0" borderId="0" xfId="0" applyFont="1" applyFill="1" applyAlignment="1">
      <alignment horizontal="left" vertical="top"/>
    </xf>
    <xf numFmtId="0" fontId="26" fillId="0" borderId="11" xfId="0" applyFont="1" applyFill="1" applyBorder="1" applyAlignment="1">
      <alignment horizontal="left" wrapText="1"/>
    </xf>
    <xf numFmtId="164" fontId="22" fillId="0" borderId="10" xfId="0" applyNumberFormat="1" applyFont="1" applyBorder="1" applyAlignment="1">
      <alignment horizontal="center"/>
    </xf>
    <xf numFmtId="0" fontId="26" fillId="24" borderId="0" xfId="0" applyFont="1" applyFill="1" applyAlignment="1">
      <alignment horizontal="left" vertical="top" wrapText="1"/>
    </xf>
    <xf numFmtId="164" fontId="22" fillId="24" borderId="0" xfId="0" applyNumberFormat="1" applyFont="1" applyFill="1" applyBorder="1" applyAlignment="1">
      <alignment horizontal="center"/>
    </xf>
    <xf numFmtId="0" fontId="25" fillId="25" borderId="11" xfId="0" applyFont="1" applyFill="1" applyBorder="1" applyAlignment="1">
      <alignment horizontal="center" wrapText="1"/>
    </xf>
  </cellXfs>
  <cellStyles count="134">
    <cellStyle name="20% - Accent1 2" xfId="3"/>
    <cellStyle name="20% - Accent1 3" xfId="46"/>
    <cellStyle name="20% - Accent1 4" xfId="79"/>
    <cellStyle name="20% - Accent2 2" xfId="4"/>
    <cellStyle name="20% - Accent2 3" xfId="47"/>
    <cellStyle name="20% - Accent2 4" xfId="91"/>
    <cellStyle name="20% - Accent3 2" xfId="5"/>
    <cellStyle name="20% - Accent3 3" xfId="48"/>
    <cellStyle name="20% - Accent3 4" xfId="92"/>
    <cellStyle name="20% - Accent4 2" xfId="6"/>
    <cellStyle name="20% - Accent4 3" xfId="49"/>
    <cellStyle name="20% - Accent4 4" xfId="93"/>
    <cellStyle name="20% - Accent5 2" xfId="7"/>
    <cellStyle name="20% - Accent5 3" xfId="50"/>
    <cellStyle name="20% - Accent5 4" xfId="94"/>
    <cellStyle name="20% - Accent6 2" xfId="8"/>
    <cellStyle name="20% - Accent6 3" xfId="51"/>
    <cellStyle name="20% - Accent6 4" xfId="95"/>
    <cellStyle name="40% - Accent1 2" xfId="9"/>
    <cellStyle name="40% - Accent1 3" xfId="52"/>
    <cellStyle name="40% - Accent1 4" xfId="96"/>
    <cellStyle name="40% - Accent2 2" xfId="10"/>
    <cellStyle name="40% - Accent2 3" xfId="53"/>
    <cellStyle name="40% - Accent2 4" xfId="97"/>
    <cellStyle name="40% - Accent3 2" xfId="11"/>
    <cellStyle name="40% - Accent3 3" xfId="54"/>
    <cellStyle name="40% - Accent3 4" xfId="98"/>
    <cellStyle name="40% - Accent4 2" xfId="12"/>
    <cellStyle name="40% - Accent4 3" xfId="55"/>
    <cellStyle name="40% - Accent4 4" xfId="99"/>
    <cellStyle name="40% - Accent5 2" xfId="13"/>
    <cellStyle name="40% - Accent5 3" xfId="56"/>
    <cellStyle name="40% - Accent5 4" xfId="100"/>
    <cellStyle name="40% - Accent6 2" xfId="14"/>
    <cellStyle name="40% - Accent6 3" xfId="57"/>
    <cellStyle name="40% - Accent6 4" xfId="101"/>
    <cellStyle name="60% - Accent1 2" xfId="15"/>
    <cellStyle name="60% - Accent1 3" xfId="58"/>
    <cellStyle name="60% - Accent1 4" xfId="102"/>
    <cellStyle name="60% - Accent2 2" xfId="16"/>
    <cellStyle name="60% - Accent2 3" xfId="59"/>
    <cellStyle name="60% - Accent2 4" xfId="103"/>
    <cellStyle name="60% - Accent3 2" xfId="17"/>
    <cellStyle name="60% - Accent3 3" xfId="60"/>
    <cellStyle name="60% - Accent3 4" xfId="104"/>
    <cellStyle name="60% - Accent4 2" xfId="18"/>
    <cellStyle name="60% - Accent4 3" xfId="61"/>
    <cellStyle name="60% - Accent4 4" xfId="105"/>
    <cellStyle name="60% - Accent5 2" xfId="19"/>
    <cellStyle name="60% - Accent5 3" xfId="62"/>
    <cellStyle name="60% - Accent5 4" xfId="106"/>
    <cellStyle name="60% - Accent6 2" xfId="20"/>
    <cellStyle name="60% - Accent6 3" xfId="63"/>
    <cellStyle name="60% - Accent6 4" xfId="107"/>
    <cellStyle name="Accent1 2" xfId="21"/>
    <cellStyle name="Accent1 3" xfId="64"/>
    <cellStyle name="Accent1 4" xfId="108"/>
    <cellStyle name="Accent2 2" xfId="22"/>
    <cellStyle name="Accent2 3" xfId="65"/>
    <cellStyle name="Accent2 4" xfId="109"/>
    <cellStyle name="Accent3 2" xfId="23"/>
    <cellStyle name="Accent3 3" xfId="66"/>
    <cellStyle name="Accent3 4" xfId="110"/>
    <cellStyle name="Accent4 2" xfId="24"/>
    <cellStyle name="Accent4 3" xfId="67"/>
    <cellStyle name="Accent4 4" xfId="111"/>
    <cellStyle name="Accent5 2" xfId="25"/>
    <cellStyle name="Accent5 3" xfId="68"/>
    <cellStyle name="Accent5 4" xfId="112"/>
    <cellStyle name="Accent6 2" xfId="26"/>
    <cellStyle name="Accent6 3" xfId="69"/>
    <cellStyle name="Accent6 4" xfId="113"/>
    <cellStyle name="Bad 2" xfId="27"/>
    <cellStyle name="Bad 3" xfId="70"/>
    <cellStyle name="Bad 4" xfId="114"/>
    <cellStyle name="Calculation 2" xfId="28"/>
    <cellStyle name="Calculation 3" xfId="71"/>
    <cellStyle name="Calculation 4" xfId="115"/>
    <cellStyle name="Check Cell 2" xfId="29"/>
    <cellStyle name="Check Cell 3" xfId="72"/>
    <cellStyle name="Check Cell 4" xfId="116"/>
    <cellStyle name="Comma" xfId="1" builtinId="3"/>
    <cellStyle name="Comma 2" xfId="30"/>
    <cellStyle name="Comma 2 2" xfId="89"/>
    <cellStyle name="Comma 2 3" xfId="131"/>
    <cellStyle name="Explanatory Text 2" xfId="31"/>
    <cellStyle name="Explanatory Text 3" xfId="73"/>
    <cellStyle name="Explanatory Text 4" xfId="117"/>
    <cellStyle name="Good 2" xfId="32"/>
    <cellStyle name="Good 3" xfId="74"/>
    <cellStyle name="Good 4" xfId="118"/>
    <cellStyle name="Heading 1 2" xfId="33"/>
    <cellStyle name="Heading 1 3" xfId="75"/>
    <cellStyle name="Heading 1 4" xfId="119"/>
    <cellStyle name="Heading 2 2" xfId="34"/>
    <cellStyle name="Heading 2 3" xfId="76"/>
    <cellStyle name="Heading 2 4" xfId="120"/>
    <cellStyle name="Heading 3 2" xfId="35"/>
    <cellStyle name="Heading 3 3" xfId="77"/>
    <cellStyle name="Heading 3 4" xfId="121"/>
    <cellStyle name="Heading 4 2" xfId="36"/>
    <cellStyle name="Heading 4 3" xfId="78"/>
    <cellStyle name="Heading 4 4" xfId="122"/>
    <cellStyle name="Input 2" xfId="37"/>
    <cellStyle name="Input 3" xfId="80"/>
    <cellStyle name="Input 4" xfId="123"/>
    <cellStyle name="Linked Cell 2" xfId="38"/>
    <cellStyle name="Linked Cell 3" xfId="81"/>
    <cellStyle name="Linked Cell 4" xfId="124"/>
    <cellStyle name="Neutral 2" xfId="39"/>
    <cellStyle name="Neutral 3" xfId="82"/>
    <cellStyle name="Neutral 4" xfId="125"/>
    <cellStyle name="Normal" xfId="0" builtinId="0"/>
    <cellStyle name="Normal 2" xfId="2"/>
    <cellStyle name="Normal 4" xfId="83"/>
    <cellStyle name="Note 2" xfId="40"/>
    <cellStyle name="Note 3" xfId="84"/>
    <cellStyle name="Note 4" xfId="126"/>
    <cellStyle name="Output 2" xfId="41"/>
    <cellStyle name="Output 3" xfId="85"/>
    <cellStyle name="Output 4" xfId="127"/>
    <cellStyle name="Percent" xfId="133" builtinId="5"/>
    <cellStyle name="Percent 2" xfId="42"/>
    <cellStyle name="Percent 2 2" xfId="90"/>
    <cellStyle name="Percent 2 3" xfId="132"/>
    <cellStyle name="Title 2" xfId="43"/>
    <cellStyle name="Title 3" xfId="86"/>
    <cellStyle name="Title 4" xfId="128"/>
    <cellStyle name="Total 2" xfId="44"/>
    <cellStyle name="Total 3" xfId="87"/>
    <cellStyle name="Total 4" xfId="129"/>
    <cellStyle name="Warning Text 2" xfId="45"/>
    <cellStyle name="Warning Text 3" xfId="88"/>
    <cellStyle name="Warning Text 4" xfId="13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50"/>
  <sheetViews>
    <sheetView tabSelected="1" view="pageBreakPreview" zoomScale="40" zoomScaleNormal="75" zoomScaleSheetLayoutView="40" workbookViewId="0">
      <pane xSplit="7" ySplit="2" topLeftCell="H3" activePane="bottomRight" state="frozen"/>
      <selection pane="topRight" activeCell="H1" sqref="H1"/>
      <selection pane="bottomLeft" activeCell="A3" sqref="A3"/>
      <selection pane="bottomRight" activeCell="BA8" sqref="BA8"/>
    </sheetView>
  </sheetViews>
  <sheetFormatPr defaultRowHeight="15" outlineLevelCol="1"/>
  <cols>
    <col min="1" max="1" width="4" style="1" bestFit="1" customWidth="1"/>
    <col min="2" max="2" width="6.5703125" style="14" customWidth="1"/>
    <col min="3" max="3" width="4.42578125" style="1" customWidth="1"/>
    <col min="4" max="4" width="4" style="1" customWidth="1"/>
    <col min="5" max="5" width="33.28515625" style="19" customWidth="1"/>
    <col min="6" max="6" width="19.28515625" style="1" customWidth="1"/>
    <col min="7" max="7" width="19.7109375" style="104" hidden="1" customWidth="1" outlineLevel="1"/>
    <col min="8" max="8" width="16.85546875" style="21" customWidth="1" collapsed="1"/>
    <col min="9" max="9" width="16.85546875" style="21" customWidth="1"/>
    <col min="10" max="10" width="16.85546875" style="6" customWidth="1"/>
    <col min="11" max="11" width="18.5703125" style="2" customWidth="1"/>
    <col min="12" max="12" width="17.5703125" style="2" customWidth="1"/>
    <col min="13" max="13" width="17" style="2" customWidth="1"/>
    <col min="14" max="14" width="14.85546875" style="2" customWidth="1"/>
    <col min="15" max="15" width="16.42578125" style="2" customWidth="1"/>
    <col min="16" max="16" width="17.28515625" style="2" customWidth="1"/>
    <col min="17" max="17" width="21.85546875" style="2" customWidth="1"/>
    <col min="18" max="18" width="15.42578125" style="2" customWidth="1"/>
    <col min="19" max="19" width="16" style="2" customWidth="1"/>
    <col min="20" max="20" width="17.85546875" style="2" customWidth="1"/>
    <col min="21" max="21" width="19" style="2" customWidth="1"/>
    <col min="22" max="22" width="18.7109375" style="2" customWidth="1"/>
    <col min="23" max="23" width="10.7109375" style="47" customWidth="1"/>
    <col min="24" max="25" width="19.140625" style="2" hidden="1" customWidth="1" collapsed="1"/>
    <col min="26" max="26" width="12.5703125" style="3" hidden="1" customWidth="1"/>
    <col min="27" max="27" width="19.42578125" style="3" hidden="1" customWidth="1"/>
    <col min="28" max="28" width="18.28515625" style="3" hidden="1" customWidth="1"/>
    <col min="29" max="29" width="16.140625" style="1" hidden="1" customWidth="1"/>
    <col min="30" max="46" width="0" style="1" hidden="1" customWidth="1"/>
    <col min="47" max="16384" width="9.140625" style="1"/>
  </cols>
  <sheetData>
    <row r="1" spans="1:29" s="4" customFormat="1">
      <c r="B1" s="22"/>
      <c r="C1" s="130">
        <v>-1</v>
      </c>
      <c r="D1" s="130"/>
      <c r="E1" s="130"/>
      <c r="F1" s="22">
        <v>-2</v>
      </c>
      <c r="G1" s="91"/>
      <c r="H1" s="24">
        <v>-3</v>
      </c>
      <c r="I1" s="24">
        <v>-4</v>
      </c>
      <c r="J1" s="23">
        <v>-5</v>
      </c>
      <c r="K1" s="22">
        <v>-6</v>
      </c>
      <c r="L1" s="22">
        <v>-7</v>
      </c>
      <c r="M1" s="22">
        <v>-8</v>
      </c>
      <c r="N1" s="22">
        <v>-9</v>
      </c>
      <c r="O1" s="22">
        <v>-10</v>
      </c>
      <c r="P1" s="22">
        <v>-11</v>
      </c>
      <c r="Q1" s="22">
        <v>-12</v>
      </c>
      <c r="R1" s="22">
        <v>-13</v>
      </c>
      <c r="S1" s="22">
        <v>-14</v>
      </c>
      <c r="T1" s="22">
        <v>-15</v>
      </c>
      <c r="U1" s="4">
        <v>-16</v>
      </c>
      <c r="V1" s="22">
        <v>-17</v>
      </c>
      <c r="W1" s="57"/>
      <c r="X1" s="128" t="s">
        <v>35</v>
      </c>
      <c r="Y1" s="128"/>
      <c r="Z1" s="5"/>
      <c r="AA1" s="5"/>
      <c r="AB1" s="5"/>
    </row>
    <row r="2" spans="1:29" s="6" customFormat="1" ht="69" customHeight="1">
      <c r="B2" s="30"/>
      <c r="C2" s="131" t="s">
        <v>0</v>
      </c>
      <c r="D2" s="131"/>
      <c r="E2" s="131"/>
      <c r="F2" s="48" t="s">
        <v>65</v>
      </c>
      <c r="G2" s="92"/>
      <c r="H2" s="49" t="s">
        <v>1</v>
      </c>
      <c r="I2" s="49" t="s">
        <v>2</v>
      </c>
      <c r="J2" s="48" t="s">
        <v>30</v>
      </c>
      <c r="K2" s="50" t="s">
        <v>3</v>
      </c>
      <c r="L2" s="50" t="s">
        <v>4</v>
      </c>
      <c r="M2" s="50" t="s">
        <v>5</v>
      </c>
      <c r="N2" s="50" t="s">
        <v>55</v>
      </c>
      <c r="O2" s="50" t="s">
        <v>38</v>
      </c>
      <c r="P2" s="50" t="s">
        <v>6</v>
      </c>
      <c r="Q2" s="50" t="s">
        <v>32</v>
      </c>
      <c r="R2" s="50" t="s">
        <v>66</v>
      </c>
      <c r="S2" s="50" t="s">
        <v>7</v>
      </c>
      <c r="T2" s="50" t="s">
        <v>8</v>
      </c>
      <c r="U2" s="48" t="s">
        <v>75</v>
      </c>
      <c r="V2" s="50" t="s">
        <v>9</v>
      </c>
      <c r="W2" s="64"/>
      <c r="X2" s="58" t="s">
        <v>33</v>
      </c>
      <c r="Y2" s="33" t="s">
        <v>34</v>
      </c>
      <c r="Z2" s="31"/>
      <c r="AA2" s="37"/>
      <c r="AB2" s="37"/>
    </row>
    <row r="3" spans="1:29" ht="31.5" customHeight="1">
      <c r="A3" s="1">
        <v>1</v>
      </c>
      <c r="C3" s="127" t="s">
        <v>10</v>
      </c>
      <c r="D3" s="127"/>
      <c r="E3" s="127"/>
      <c r="F3" s="106">
        <v>289588.62</v>
      </c>
      <c r="G3" s="105" t="str">
        <f>"cap $311,339 + DSH Add-on $18,436.88"</f>
        <v>cap $311,339 + DSH Add-on $18,436.88</v>
      </c>
      <c r="H3" s="27" t="s">
        <v>49</v>
      </c>
      <c r="I3" s="27" t="s">
        <v>49</v>
      </c>
      <c r="J3" s="28" t="s">
        <v>25</v>
      </c>
      <c r="K3" s="51">
        <v>1634117.8299999998</v>
      </c>
      <c r="L3" s="51">
        <v>0</v>
      </c>
      <c r="M3" s="51">
        <v>0</v>
      </c>
      <c r="N3" s="51">
        <v>0</v>
      </c>
      <c r="O3" s="51">
        <v>1634117.8299999998</v>
      </c>
      <c r="P3" s="51">
        <v>1716567.545307389</v>
      </c>
      <c r="Q3" s="51">
        <v>82449.715307389153</v>
      </c>
      <c r="R3" s="51">
        <v>41927.819007096026</v>
      </c>
      <c r="S3" s="51">
        <v>408822.45439030486</v>
      </c>
      <c r="T3" s="51">
        <v>366894.63538320886</v>
      </c>
      <c r="U3" s="51">
        <v>449344.35069059802</v>
      </c>
      <c r="V3" s="51">
        <v>289588.62</v>
      </c>
      <c r="W3" s="65"/>
      <c r="X3" s="59">
        <v>289588.62</v>
      </c>
      <c r="Y3" s="7"/>
      <c r="Z3" s="8">
        <f t="shared" ref="Z3:Z33" si="0">IF(U3-V3&gt;0,,1)</f>
        <v>0</v>
      </c>
      <c r="AA3" s="38"/>
      <c r="AB3" s="38">
        <f>IF(AA3=0,U3-V3,0)</f>
        <v>159755.73069059802</v>
      </c>
    </row>
    <row r="4" spans="1:29" ht="30.75">
      <c r="A4" s="1">
        <v>2</v>
      </c>
      <c r="C4" s="120" t="s">
        <v>11</v>
      </c>
      <c r="D4" s="120"/>
      <c r="E4" s="120"/>
      <c r="F4" s="52">
        <v>25171.374200278166</v>
      </c>
      <c r="G4" s="94" t="str">
        <f>"amt paid "&amp;V4</f>
        <v>amt paid 25171.36</v>
      </c>
      <c r="H4" s="34">
        <v>0.18928028864413216</v>
      </c>
      <c r="I4" s="34">
        <v>0.15635629404051199</v>
      </c>
      <c r="J4" s="44" t="s">
        <v>27</v>
      </c>
      <c r="K4" s="52">
        <v>8400926.4499999993</v>
      </c>
      <c r="L4" s="52">
        <v>308924.17</v>
      </c>
      <c r="M4" s="52">
        <v>0</v>
      </c>
      <c r="N4" s="52">
        <v>32334.530699547853</v>
      </c>
      <c r="O4" s="52">
        <v>8742185.1506995466</v>
      </c>
      <c r="P4" s="52">
        <v>6428945.5558283441</v>
      </c>
      <c r="Q4" s="52">
        <v>-2313239.5948712025</v>
      </c>
      <c r="R4" s="52">
        <v>702704.78</v>
      </c>
      <c r="S4" s="52">
        <v>1785441.4543016872</v>
      </c>
      <c r="T4" s="52">
        <v>1082736.6743016872</v>
      </c>
      <c r="U4" s="52">
        <v>-1230502.9205695153</v>
      </c>
      <c r="V4" s="52">
        <v>25171.360000000001</v>
      </c>
      <c r="W4" s="63"/>
      <c r="X4" s="60">
        <v>25171.360000000001</v>
      </c>
      <c r="Y4" s="35"/>
      <c r="Z4" s="36">
        <f t="shared" si="0"/>
        <v>1</v>
      </c>
      <c r="AA4" s="38">
        <f>IF(Z4=1,(IF(U4&lt;0,V4,V4-U4)),0)</f>
        <v>25171.360000000001</v>
      </c>
      <c r="AB4" s="38">
        <f t="shared" ref="AB4:AB33" si="1">IF(AA4=0,U4-V4,0)</f>
        <v>0</v>
      </c>
    </row>
    <row r="5" spans="1:29" ht="30.75">
      <c r="A5" s="1">
        <v>3</v>
      </c>
      <c r="C5" s="127" t="s">
        <v>39</v>
      </c>
      <c r="D5" s="127"/>
      <c r="E5" s="127"/>
      <c r="F5" s="53">
        <v>27844.846470588236</v>
      </c>
      <c r="G5" s="95" t="str">
        <f t="shared" ref="G5:G32" si="2">"amt paid "&amp;V5</f>
        <v>amt paid 27844.86</v>
      </c>
      <c r="H5" s="9">
        <v>0.20272435897435898</v>
      </c>
      <c r="I5" s="9">
        <v>0.1559929009753937</v>
      </c>
      <c r="J5" s="28" t="s">
        <v>27</v>
      </c>
      <c r="K5" s="53">
        <v>3539242.25</v>
      </c>
      <c r="L5" s="53">
        <v>0</v>
      </c>
      <c r="M5" s="53">
        <v>0</v>
      </c>
      <c r="N5" s="53">
        <v>571.79644980163221</v>
      </c>
      <c r="O5" s="53">
        <v>3539814.0464498014</v>
      </c>
      <c r="P5" s="53">
        <v>2450855.8180808038</v>
      </c>
      <c r="Q5" s="53">
        <v>-1088958.2283689973</v>
      </c>
      <c r="R5" s="53">
        <v>539724.41</v>
      </c>
      <c r="S5" s="53">
        <v>1284943.4691053396</v>
      </c>
      <c r="T5" s="53">
        <v>745219.05910533958</v>
      </c>
      <c r="U5" s="53">
        <v>-343739.16926365776</v>
      </c>
      <c r="V5" s="53">
        <v>27844.86</v>
      </c>
      <c r="W5" s="63"/>
      <c r="X5" s="59">
        <v>27844.86</v>
      </c>
      <c r="Y5" s="7"/>
      <c r="Z5" s="8">
        <f t="shared" si="0"/>
        <v>1</v>
      </c>
      <c r="AA5" s="38">
        <f t="shared" ref="AA5:AA30" si="3">IF(Z5=1,(IF(U5&lt;0,V5,V5-U5)),0)</f>
        <v>27844.86</v>
      </c>
      <c r="AB5" s="38">
        <f t="shared" si="1"/>
        <v>0</v>
      </c>
    </row>
    <row r="6" spans="1:29" ht="30.75">
      <c r="A6" s="1">
        <v>4</v>
      </c>
      <c r="C6" s="120" t="s">
        <v>12</v>
      </c>
      <c r="D6" s="120"/>
      <c r="E6" s="120"/>
      <c r="F6" s="52">
        <v>1511.6469306930694</v>
      </c>
      <c r="G6" s="94" t="str">
        <f t="shared" si="2"/>
        <v>amt paid 1511.66</v>
      </c>
      <c r="H6" s="32" t="s">
        <v>49</v>
      </c>
      <c r="I6" s="32" t="s">
        <v>49</v>
      </c>
      <c r="J6" s="44" t="s">
        <v>25</v>
      </c>
      <c r="K6" s="52">
        <v>530060.26</v>
      </c>
      <c r="L6" s="52">
        <v>0</v>
      </c>
      <c r="M6" s="52">
        <v>0</v>
      </c>
      <c r="N6" s="52">
        <v>765.21683465096237</v>
      </c>
      <c r="O6" s="52">
        <v>530825.47683465097</v>
      </c>
      <c r="P6" s="52">
        <v>509956.65438505693</v>
      </c>
      <c r="Q6" s="52">
        <v>-20868.822449594038</v>
      </c>
      <c r="R6" s="52">
        <v>239665.41</v>
      </c>
      <c r="S6" s="52">
        <v>354002.20220675488</v>
      </c>
      <c r="T6" s="52">
        <v>114336.79220675488</v>
      </c>
      <c r="U6" s="52">
        <v>93467.969757160841</v>
      </c>
      <c r="V6" s="52">
        <v>1511.6599999999999</v>
      </c>
      <c r="W6" s="63"/>
      <c r="X6" s="60">
        <v>1511.6599999999999</v>
      </c>
      <c r="Y6" s="35"/>
      <c r="Z6" s="36">
        <f t="shared" si="0"/>
        <v>0</v>
      </c>
      <c r="AA6" s="38"/>
      <c r="AB6" s="38">
        <f t="shared" si="1"/>
        <v>91956.309757160838</v>
      </c>
    </row>
    <row r="7" spans="1:29" ht="30.75">
      <c r="A7" s="1">
        <v>5</v>
      </c>
      <c r="C7" s="127" t="s">
        <v>13</v>
      </c>
      <c r="D7" s="127"/>
      <c r="E7" s="127"/>
      <c r="F7" s="54">
        <f>311339+7148.99</f>
        <v>318487.99</v>
      </c>
      <c r="G7" s="93" t="str">
        <f>"cap $311,339 + DSH Add-on $7,148.99"</f>
        <v>cap $311,339 + DSH Add-on $7,148.99</v>
      </c>
      <c r="H7" s="27" t="s">
        <v>49</v>
      </c>
      <c r="I7" s="27" t="s">
        <v>49</v>
      </c>
      <c r="J7" s="28" t="s">
        <v>25</v>
      </c>
      <c r="K7" s="53">
        <v>760717.75</v>
      </c>
      <c r="L7" s="53">
        <v>941</v>
      </c>
      <c r="M7" s="53">
        <v>0</v>
      </c>
      <c r="N7" s="53">
        <v>5284.7778219216862</v>
      </c>
      <c r="O7" s="53">
        <v>766943.52782192174</v>
      </c>
      <c r="P7" s="53">
        <v>1208182.9142141291</v>
      </c>
      <c r="Q7" s="53">
        <v>441239.38639220735</v>
      </c>
      <c r="R7" s="53">
        <v>0</v>
      </c>
      <c r="S7" s="53">
        <v>380031.21640500001</v>
      </c>
      <c r="T7" s="53">
        <v>380031.21640500001</v>
      </c>
      <c r="U7" s="53">
        <v>821270.60279720742</v>
      </c>
      <c r="V7" s="53">
        <v>356135</v>
      </c>
      <c r="W7" s="63"/>
      <c r="X7" s="59">
        <v>356135</v>
      </c>
      <c r="Y7" s="7"/>
      <c r="Z7" s="8">
        <f t="shared" si="0"/>
        <v>0</v>
      </c>
      <c r="AA7" s="38"/>
      <c r="AB7" s="38">
        <f t="shared" si="1"/>
        <v>465135.60279720742</v>
      </c>
      <c r="AC7" s="1" t="s">
        <v>36</v>
      </c>
    </row>
    <row r="8" spans="1:29" ht="30.75">
      <c r="A8" s="1">
        <v>6</v>
      </c>
      <c r="C8" s="120" t="s">
        <v>47</v>
      </c>
      <c r="D8" s="120"/>
      <c r="E8" s="120"/>
      <c r="F8" s="52">
        <v>23299.769803921572</v>
      </c>
      <c r="G8" s="94" t="str">
        <f t="shared" si="2"/>
        <v>amt paid 23299.77</v>
      </c>
      <c r="H8" s="32" t="s">
        <v>49</v>
      </c>
      <c r="I8" s="32" t="s">
        <v>49</v>
      </c>
      <c r="J8" s="44" t="s">
        <v>25</v>
      </c>
      <c r="K8" s="52">
        <v>2621794.23</v>
      </c>
      <c r="L8" s="52">
        <v>246896</v>
      </c>
      <c r="M8" s="52">
        <v>0</v>
      </c>
      <c r="N8" s="52">
        <v>3687.8234261019834</v>
      </c>
      <c r="O8" s="52">
        <v>2872378.0534261018</v>
      </c>
      <c r="P8" s="52">
        <v>2420197.5396371097</v>
      </c>
      <c r="Q8" s="52">
        <v>-452180.51378899184</v>
      </c>
      <c r="R8" s="52">
        <v>68517</v>
      </c>
      <c r="S8" s="52">
        <v>511663.66730626026</v>
      </c>
      <c r="T8" s="52">
        <v>443146.66730626026</v>
      </c>
      <c r="U8" s="52">
        <v>-9033.8464827315765</v>
      </c>
      <c r="V8" s="52">
        <v>23299.77</v>
      </c>
      <c r="W8" s="63"/>
      <c r="X8" s="60">
        <v>23299.77</v>
      </c>
      <c r="Y8" s="35"/>
      <c r="Z8" s="36">
        <f t="shared" si="0"/>
        <v>1</v>
      </c>
      <c r="AA8" s="38">
        <f t="shared" si="3"/>
        <v>23299.77</v>
      </c>
      <c r="AB8" s="38">
        <f t="shared" si="1"/>
        <v>0</v>
      </c>
    </row>
    <row r="9" spans="1:29" ht="30.75">
      <c r="A9" s="1">
        <v>7</v>
      </c>
      <c r="C9" s="127" t="s">
        <v>42</v>
      </c>
      <c r="D9" s="127"/>
      <c r="E9" s="127"/>
      <c r="F9" s="55">
        <v>62421.599999999999</v>
      </c>
      <c r="G9" s="96" t="str">
        <f t="shared" si="2"/>
        <v>amt paid 62421.6</v>
      </c>
      <c r="H9" s="27" t="s">
        <v>49</v>
      </c>
      <c r="I9" s="27" t="s">
        <v>49</v>
      </c>
      <c r="J9" s="28" t="s">
        <v>25</v>
      </c>
      <c r="K9" s="53">
        <v>7906040.8300000001</v>
      </c>
      <c r="L9" s="53">
        <v>0</v>
      </c>
      <c r="M9" s="53">
        <v>0</v>
      </c>
      <c r="N9" s="53">
        <v>-645.61230178182348</v>
      </c>
      <c r="O9" s="53">
        <v>7905395.2176982183</v>
      </c>
      <c r="P9" s="53">
        <v>4684701.4280100139</v>
      </c>
      <c r="Q9" s="53">
        <v>-3220693.7896882049</v>
      </c>
      <c r="R9" s="53">
        <v>347164.62</v>
      </c>
      <c r="S9" s="53">
        <v>570529.6349433891</v>
      </c>
      <c r="T9" s="53">
        <v>223365.01494338911</v>
      </c>
      <c r="U9" s="55">
        <v>-2997328.7747448157</v>
      </c>
      <c r="V9" s="55">
        <v>62421.599999999999</v>
      </c>
      <c r="W9" s="66"/>
      <c r="X9" s="61">
        <v>62421.599999999999</v>
      </c>
      <c r="Y9" s="10"/>
      <c r="Z9" s="8">
        <f t="shared" si="0"/>
        <v>1</v>
      </c>
      <c r="AA9" s="38">
        <f t="shared" si="3"/>
        <v>62421.599999999999</v>
      </c>
      <c r="AB9" s="38">
        <f t="shared" si="1"/>
        <v>0</v>
      </c>
    </row>
    <row r="10" spans="1:29" ht="30.75">
      <c r="A10" s="1">
        <v>8</v>
      </c>
      <c r="C10" s="120" t="s">
        <v>31</v>
      </c>
      <c r="D10" s="120"/>
      <c r="E10" s="120"/>
      <c r="F10" s="52">
        <v>19989.743725490196</v>
      </c>
      <c r="G10" s="94" t="str">
        <f t="shared" si="2"/>
        <v>amt paid 19989.75</v>
      </c>
      <c r="H10" s="32" t="s">
        <v>49</v>
      </c>
      <c r="I10" s="32" t="s">
        <v>49</v>
      </c>
      <c r="J10" s="44" t="s">
        <v>25</v>
      </c>
      <c r="K10" s="52">
        <v>2130037.4500000002</v>
      </c>
      <c r="L10" s="52">
        <v>0</v>
      </c>
      <c r="M10" s="52">
        <v>0</v>
      </c>
      <c r="N10" s="52">
        <v>0</v>
      </c>
      <c r="O10" s="52">
        <v>2130037.4500000002</v>
      </c>
      <c r="P10" s="52">
        <v>1765450.3934805519</v>
      </c>
      <c r="Q10" s="52">
        <v>-364587.05651944829</v>
      </c>
      <c r="R10" s="52">
        <v>121564.59</v>
      </c>
      <c r="S10" s="52">
        <v>566894.55571124051</v>
      </c>
      <c r="T10" s="52">
        <v>445329.96571124054</v>
      </c>
      <c r="U10" s="52">
        <v>80742.909191792249</v>
      </c>
      <c r="V10" s="52">
        <v>19989.75</v>
      </c>
      <c r="W10" s="63"/>
      <c r="X10" s="60">
        <v>19989.75</v>
      </c>
      <c r="Y10" s="35"/>
      <c r="Z10" s="36">
        <f t="shared" si="0"/>
        <v>0</v>
      </c>
      <c r="AA10" s="38"/>
      <c r="AB10" s="38">
        <f t="shared" si="1"/>
        <v>60753.159191792249</v>
      </c>
    </row>
    <row r="11" spans="1:29" ht="30.75">
      <c r="A11" s="1">
        <v>9</v>
      </c>
      <c r="C11" s="121" t="s">
        <v>40</v>
      </c>
      <c r="D11" s="121"/>
      <c r="E11" s="121"/>
      <c r="F11" s="56">
        <v>8924.1066990291256</v>
      </c>
      <c r="G11" s="97" t="str">
        <f t="shared" si="2"/>
        <v>amt paid 8924.12</v>
      </c>
      <c r="H11" s="27" t="s">
        <v>49</v>
      </c>
      <c r="I11" s="27" t="s">
        <v>49</v>
      </c>
      <c r="J11" s="29" t="s">
        <v>25</v>
      </c>
      <c r="K11" s="56">
        <v>820113.38</v>
      </c>
      <c r="L11" s="56">
        <v>0</v>
      </c>
      <c r="M11" s="56">
        <v>0</v>
      </c>
      <c r="N11" s="56">
        <v>0</v>
      </c>
      <c r="O11" s="56">
        <v>820113.38</v>
      </c>
      <c r="P11" s="56">
        <v>697649.20364687114</v>
      </c>
      <c r="Q11" s="56">
        <v>-122464.17635312886</v>
      </c>
      <c r="R11" s="56">
        <v>66339.17</v>
      </c>
      <c r="S11" s="56">
        <v>177906.56188383166</v>
      </c>
      <c r="T11" s="56">
        <v>111567.39188383166</v>
      </c>
      <c r="U11" s="56">
        <v>-10896.784469297199</v>
      </c>
      <c r="V11" s="56">
        <v>8924.119999999999</v>
      </c>
      <c r="W11" s="63"/>
      <c r="X11" s="62">
        <v>8924.119999999999</v>
      </c>
      <c r="Y11" s="11"/>
      <c r="Z11" s="8">
        <f t="shared" si="0"/>
        <v>1</v>
      </c>
      <c r="AA11" s="38">
        <f t="shared" si="3"/>
        <v>8924.119999999999</v>
      </c>
      <c r="AB11" s="38">
        <f t="shared" si="1"/>
        <v>0</v>
      </c>
    </row>
    <row r="12" spans="1:29" ht="30.75">
      <c r="A12" s="1">
        <v>10</v>
      </c>
      <c r="C12" s="120" t="s">
        <v>14</v>
      </c>
      <c r="D12" s="120"/>
      <c r="E12" s="120"/>
      <c r="F12" s="52">
        <v>61478.990361613345</v>
      </c>
      <c r="G12" s="94" t="str">
        <f t="shared" si="2"/>
        <v>amt paid 61478.99</v>
      </c>
      <c r="H12" s="34">
        <v>0.17661021183945175</v>
      </c>
      <c r="I12" s="34">
        <v>0.14893709875436772</v>
      </c>
      <c r="J12" s="44" t="s">
        <v>27</v>
      </c>
      <c r="K12" s="52">
        <v>19738653.030000001</v>
      </c>
      <c r="L12" s="52">
        <v>1927111</v>
      </c>
      <c r="M12" s="52">
        <v>0</v>
      </c>
      <c r="N12" s="52">
        <v>19249.585201922771</v>
      </c>
      <c r="O12" s="52">
        <v>21685013.615201924</v>
      </c>
      <c r="P12" s="52">
        <v>20475641.71008135</v>
      </c>
      <c r="Q12" s="52">
        <v>-1209371.9051205739</v>
      </c>
      <c r="R12" s="52">
        <v>1804264.9</v>
      </c>
      <c r="S12" s="52">
        <v>7463781.7940188274</v>
      </c>
      <c r="T12" s="52">
        <v>5659516.894018827</v>
      </c>
      <c r="U12" s="52">
        <v>4450144.9888982531</v>
      </c>
      <c r="V12" s="52">
        <v>61478.99</v>
      </c>
      <c r="W12" s="63"/>
      <c r="X12" s="60">
        <v>61478.99</v>
      </c>
      <c r="Y12" s="35"/>
      <c r="Z12" s="36">
        <f t="shared" si="0"/>
        <v>0</v>
      </c>
      <c r="AA12" s="38"/>
      <c r="AB12" s="38">
        <f t="shared" si="1"/>
        <v>4388665.9988982528</v>
      </c>
    </row>
    <row r="13" spans="1:29" ht="30.75">
      <c r="A13" s="1">
        <v>11</v>
      </c>
      <c r="C13" s="121" t="s">
        <v>15</v>
      </c>
      <c r="D13" s="121"/>
      <c r="E13" s="121"/>
      <c r="F13" s="56">
        <v>7092.8446601941741</v>
      </c>
      <c r="G13" s="97" t="str">
        <f t="shared" si="2"/>
        <v>amt paid 7092.85</v>
      </c>
      <c r="H13" s="27" t="s">
        <v>49</v>
      </c>
      <c r="I13" s="27" t="s">
        <v>49</v>
      </c>
      <c r="J13" s="29" t="s">
        <v>25</v>
      </c>
      <c r="K13" s="56">
        <v>499831.89</v>
      </c>
      <c r="L13" s="56">
        <v>0</v>
      </c>
      <c r="M13" s="56">
        <v>0</v>
      </c>
      <c r="N13" s="56">
        <v>0</v>
      </c>
      <c r="O13" s="56">
        <v>499831.89</v>
      </c>
      <c r="P13" s="56">
        <v>496879.5302072778</v>
      </c>
      <c r="Q13" s="56">
        <v>-2952.3597927222145</v>
      </c>
      <c r="R13" s="56">
        <v>45958.080000000002</v>
      </c>
      <c r="S13" s="56">
        <v>182782.2565581614</v>
      </c>
      <c r="T13" s="56">
        <v>136824.17655816139</v>
      </c>
      <c r="U13" s="56">
        <v>133871.81676543917</v>
      </c>
      <c r="V13" s="56">
        <v>7092.85</v>
      </c>
      <c r="W13" s="63"/>
      <c r="X13" s="62">
        <v>7092.85</v>
      </c>
      <c r="Y13" s="11"/>
      <c r="Z13" s="8">
        <f t="shared" si="0"/>
        <v>0</v>
      </c>
      <c r="AA13" s="38"/>
      <c r="AB13" s="38">
        <f t="shared" si="1"/>
        <v>126778.96676543917</v>
      </c>
    </row>
    <row r="14" spans="1:29" ht="30.75">
      <c r="A14" s="1">
        <v>12</v>
      </c>
      <c r="C14" s="120" t="s">
        <v>16</v>
      </c>
      <c r="D14" s="120"/>
      <c r="E14" s="120"/>
      <c r="F14" s="52">
        <v>304157.86</v>
      </c>
      <c r="G14" s="105" t="str">
        <f>"cap $311,339 + DSH Add-on $5,401.36"</f>
        <v>cap $311,339 + DSH Add-on $5,401.36</v>
      </c>
      <c r="H14" s="32" t="s">
        <v>49</v>
      </c>
      <c r="I14" s="32" t="s">
        <v>49</v>
      </c>
      <c r="J14" s="44" t="s">
        <v>25</v>
      </c>
      <c r="K14" s="52">
        <v>475093.03000000014</v>
      </c>
      <c r="L14" s="52">
        <v>3123.24</v>
      </c>
      <c r="M14" s="52">
        <v>0</v>
      </c>
      <c r="N14" s="52">
        <v>-7728.4558551667724</v>
      </c>
      <c r="O14" s="52">
        <v>470487.81414483336</v>
      </c>
      <c r="P14" s="52">
        <v>712113.15604443476</v>
      </c>
      <c r="Q14" s="52">
        <v>241625.34189960145</v>
      </c>
      <c r="R14" s="52">
        <v>111432.77</v>
      </c>
      <c r="S14" s="52">
        <v>219250.34786695946</v>
      </c>
      <c r="T14" s="52">
        <v>107817.57786695946</v>
      </c>
      <c r="U14" s="52">
        <v>349442.9197665609</v>
      </c>
      <c r="V14" s="52">
        <v>304157.86</v>
      </c>
      <c r="W14" s="63"/>
      <c r="X14" s="60">
        <v>304157.86</v>
      </c>
      <c r="Y14" s="35"/>
      <c r="Z14" s="36">
        <f t="shared" si="0"/>
        <v>0</v>
      </c>
      <c r="AA14" s="38"/>
      <c r="AB14" s="38">
        <f t="shared" si="1"/>
        <v>45285.059766560909</v>
      </c>
    </row>
    <row r="15" spans="1:29" ht="30.75">
      <c r="A15" s="1">
        <v>13</v>
      </c>
      <c r="C15" s="121" t="s">
        <v>17</v>
      </c>
      <c r="D15" s="121"/>
      <c r="E15" s="121"/>
      <c r="F15" s="56">
        <v>298863.7</v>
      </c>
      <c r="G15" s="105" t="str">
        <f>"cap $311,339 + DSH Add-on $27,811.96"</f>
        <v>cap $311,339 + DSH Add-on $27,811.96</v>
      </c>
      <c r="H15" s="27" t="s">
        <v>49</v>
      </c>
      <c r="I15" s="27" t="s">
        <v>49</v>
      </c>
      <c r="J15" s="29" t="s">
        <v>25</v>
      </c>
      <c r="K15" s="56">
        <v>1339253.28</v>
      </c>
      <c r="L15" s="56">
        <v>0</v>
      </c>
      <c r="M15" s="56">
        <v>0</v>
      </c>
      <c r="N15" s="56">
        <v>-2618.8440842407317</v>
      </c>
      <c r="O15" s="56">
        <v>1336634.4359157593</v>
      </c>
      <c r="P15" s="56">
        <v>1217505.7867325244</v>
      </c>
      <c r="Q15" s="56">
        <v>-119128.6491832349</v>
      </c>
      <c r="R15" s="56">
        <v>173916.28</v>
      </c>
      <c r="S15" s="56">
        <v>271437.68441913708</v>
      </c>
      <c r="T15" s="56">
        <v>97521.404419137078</v>
      </c>
      <c r="U15" s="56">
        <v>-21607.244764097821</v>
      </c>
      <c r="V15" s="56">
        <v>298863.7</v>
      </c>
      <c r="W15" s="63"/>
      <c r="X15" s="62">
        <v>298863.7</v>
      </c>
      <c r="Y15" s="11"/>
      <c r="Z15" s="8">
        <f t="shared" si="0"/>
        <v>1</v>
      </c>
      <c r="AA15" s="38">
        <f t="shared" si="3"/>
        <v>298863.7</v>
      </c>
      <c r="AB15" s="38">
        <f t="shared" si="1"/>
        <v>0</v>
      </c>
    </row>
    <row r="16" spans="1:29" ht="30.75">
      <c r="A16" s="1">
        <v>14</v>
      </c>
      <c r="C16" s="120" t="s">
        <v>43</v>
      </c>
      <c r="D16" s="120"/>
      <c r="E16" s="120"/>
      <c r="F16" s="52">
        <v>18690.118252427186</v>
      </c>
      <c r="G16" s="94" t="str">
        <f t="shared" si="2"/>
        <v>amt paid 18690.11</v>
      </c>
      <c r="H16" s="32" t="s">
        <v>49</v>
      </c>
      <c r="I16" s="32" t="s">
        <v>49</v>
      </c>
      <c r="J16" s="44" t="s">
        <v>25</v>
      </c>
      <c r="K16" s="52">
        <v>1158071.92</v>
      </c>
      <c r="L16" s="52">
        <v>0</v>
      </c>
      <c r="M16" s="52">
        <v>0</v>
      </c>
      <c r="N16" s="52">
        <v>-1450.5905303455074</v>
      </c>
      <c r="O16" s="52">
        <v>1156621.3294696545</v>
      </c>
      <c r="P16" s="52">
        <v>911443.62231771671</v>
      </c>
      <c r="Q16" s="52">
        <v>-245177.70715193776</v>
      </c>
      <c r="R16" s="52">
        <v>200754.84</v>
      </c>
      <c r="S16" s="52">
        <v>580452.60910270351</v>
      </c>
      <c r="T16" s="52">
        <v>379697.76910270355</v>
      </c>
      <c r="U16" s="52">
        <v>134520.06195076578</v>
      </c>
      <c r="V16" s="52">
        <v>18690.11</v>
      </c>
      <c r="W16" s="63"/>
      <c r="X16" s="60">
        <v>18690.11</v>
      </c>
      <c r="Y16" s="35"/>
      <c r="Z16" s="36">
        <f t="shared" si="0"/>
        <v>0</v>
      </c>
      <c r="AA16" s="38"/>
      <c r="AB16" s="38">
        <f t="shared" si="1"/>
        <v>115829.95195076578</v>
      </c>
    </row>
    <row r="17" spans="1:29" ht="30.75">
      <c r="A17" s="1">
        <v>15</v>
      </c>
      <c r="C17" s="121" t="s">
        <v>28</v>
      </c>
      <c r="D17" s="121"/>
      <c r="E17" s="121"/>
      <c r="F17" s="56">
        <v>136508.6833220743</v>
      </c>
      <c r="G17" s="97" t="str">
        <f t="shared" si="2"/>
        <v>amt paid 136508.67</v>
      </c>
      <c r="H17" s="12">
        <v>0.14151147322913202</v>
      </c>
      <c r="I17" s="12">
        <v>0.14243913933376756</v>
      </c>
      <c r="J17" s="29" t="s">
        <v>27</v>
      </c>
      <c r="K17" s="56">
        <v>36511476.339999996</v>
      </c>
      <c r="L17" s="56">
        <v>2845673.82</v>
      </c>
      <c r="M17" s="56">
        <v>1546420</v>
      </c>
      <c r="N17" s="56">
        <v>33984.776645463149</v>
      </c>
      <c r="O17" s="56">
        <v>40937554.936645463</v>
      </c>
      <c r="P17" s="56">
        <v>33577383.573222131</v>
      </c>
      <c r="Q17" s="56">
        <v>-7360171.3634233307</v>
      </c>
      <c r="R17" s="56">
        <v>2938355.99</v>
      </c>
      <c r="S17" s="56">
        <v>17928882.279326659</v>
      </c>
      <c r="T17" s="56">
        <v>14990526.289326658</v>
      </c>
      <c r="U17" s="56">
        <v>7630354.9259033278</v>
      </c>
      <c r="V17" s="56">
        <v>136508.66999999998</v>
      </c>
      <c r="W17" s="63"/>
      <c r="X17" s="62">
        <v>136508.66999999998</v>
      </c>
      <c r="Y17" s="11"/>
      <c r="Z17" s="8">
        <f t="shared" si="0"/>
        <v>0</v>
      </c>
      <c r="AA17" s="38"/>
      <c r="AB17" s="38">
        <f t="shared" si="1"/>
        <v>7493846.2559033278</v>
      </c>
    </row>
    <row r="18" spans="1:29" ht="30.75">
      <c r="A18" s="1">
        <v>16</v>
      </c>
      <c r="C18" s="120" t="s">
        <v>18</v>
      </c>
      <c r="D18" s="120"/>
      <c r="E18" s="120"/>
      <c r="F18" s="52">
        <f>311339+2976.55</f>
        <v>314315.55</v>
      </c>
      <c r="G18" s="93" t="str">
        <f>"cap $311,339 + DSH Add-on $2,976.55"</f>
        <v>cap $311,339 + DSH Add-on $2,976.55</v>
      </c>
      <c r="H18" s="32" t="s">
        <v>49</v>
      </c>
      <c r="I18" s="32" t="s">
        <v>49</v>
      </c>
      <c r="J18" s="44" t="s">
        <v>25</v>
      </c>
      <c r="K18" s="52">
        <v>553957.03</v>
      </c>
      <c r="L18" s="52">
        <v>0</v>
      </c>
      <c r="M18" s="52">
        <v>0</v>
      </c>
      <c r="N18" s="52">
        <v>589.42410955952607</v>
      </c>
      <c r="O18" s="52">
        <v>554546.45410955953</v>
      </c>
      <c r="P18" s="52">
        <v>778594.85936237581</v>
      </c>
      <c r="Q18" s="52">
        <v>224048.4052528163</v>
      </c>
      <c r="R18" s="52">
        <v>47059.11</v>
      </c>
      <c r="S18" s="52">
        <v>219972.58354128193</v>
      </c>
      <c r="T18" s="52">
        <v>172913.47354128194</v>
      </c>
      <c r="U18" s="52">
        <v>396961.87879409827</v>
      </c>
      <c r="V18" s="52">
        <v>351963.5</v>
      </c>
      <c r="W18" s="63"/>
      <c r="X18" s="60">
        <v>351963.5</v>
      </c>
      <c r="Y18" s="35"/>
      <c r="Z18" s="36">
        <f t="shared" si="0"/>
        <v>0</v>
      </c>
      <c r="AA18" s="38"/>
      <c r="AB18" s="38">
        <f t="shared" si="1"/>
        <v>44998.378794098273</v>
      </c>
      <c r="AC18" s="1" t="s">
        <v>36</v>
      </c>
    </row>
    <row r="19" spans="1:29" ht="30.75">
      <c r="A19" s="1">
        <v>17</v>
      </c>
      <c r="C19" s="127" t="s">
        <v>19</v>
      </c>
      <c r="D19" s="127"/>
      <c r="E19" s="127"/>
      <c r="F19" s="53">
        <v>37573.89297436917</v>
      </c>
      <c r="G19" s="95" t="str">
        <f t="shared" si="2"/>
        <v>amt paid 37573.9</v>
      </c>
      <c r="H19" s="9">
        <v>0.26751435602953239</v>
      </c>
      <c r="I19" s="9">
        <v>0.1638040300653878</v>
      </c>
      <c r="J19" s="28" t="s">
        <v>27</v>
      </c>
      <c r="K19" s="53">
        <v>9853863.9100000001</v>
      </c>
      <c r="L19" s="53">
        <v>790474.06</v>
      </c>
      <c r="M19" s="53">
        <v>0</v>
      </c>
      <c r="N19" s="53">
        <v>20170.403112559485</v>
      </c>
      <c r="O19" s="53">
        <v>10664508.373112559</v>
      </c>
      <c r="P19" s="53">
        <v>8919009.307584472</v>
      </c>
      <c r="Q19" s="53">
        <v>-1745499.065528088</v>
      </c>
      <c r="R19" s="53">
        <v>851243.16</v>
      </c>
      <c r="S19" s="53">
        <v>2411038.9908326669</v>
      </c>
      <c r="T19" s="53">
        <v>1559795.8308326667</v>
      </c>
      <c r="U19" s="53">
        <v>-185703.2346954213</v>
      </c>
      <c r="V19" s="53">
        <v>37573.899999999994</v>
      </c>
      <c r="W19" s="63"/>
      <c r="X19" s="59">
        <v>37573.899999999994</v>
      </c>
      <c r="Y19" s="7"/>
      <c r="Z19" s="8">
        <f t="shared" si="0"/>
        <v>1</v>
      </c>
      <c r="AA19" s="38">
        <f t="shared" si="3"/>
        <v>37573.899999999994</v>
      </c>
      <c r="AB19" s="38">
        <f t="shared" si="1"/>
        <v>0</v>
      </c>
    </row>
    <row r="20" spans="1:29" ht="30.75">
      <c r="A20" s="1">
        <v>18</v>
      </c>
      <c r="C20" s="120" t="s">
        <v>77</v>
      </c>
      <c r="D20" s="120"/>
      <c r="E20" s="120"/>
      <c r="F20" s="52">
        <v>101850.23235843435</v>
      </c>
      <c r="G20" s="94" t="str">
        <f t="shared" si="2"/>
        <v>amt paid 101850.23</v>
      </c>
      <c r="H20" s="34">
        <v>0.24245373562053071</v>
      </c>
      <c r="I20" s="34">
        <v>0.19251187285360452</v>
      </c>
      <c r="J20" s="44" t="s">
        <v>27</v>
      </c>
      <c r="K20" s="52">
        <v>30263187.940000001</v>
      </c>
      <c r="L20" s="52">
        <v>3370548.98</v>
      </c>
      <c r="M20" s="52">
        <v>620161</v>
      </c>
      <c r="N20" s="52">
        <v>37937.403717021392</v>
      </c>
      <c r="O20" s="52">
        <v>34291835.32371702</v>
      </c>
      <c r="P20" s="52">
        <v>27969681.974712387</v>
      </c>
      <c r="Q20" s="52">
        <v>-6322153.3490046347</v>
      </c>
      <c r="R20" s="52">
        <v>1265407.3799999999</v>
      </c>
      <c r="S20" s="52">
        <v>8649574.3883074149</v>
      </c>
      <c r="T20" s="52">
        <v>7384167.0083074151</v>
      </c>
      <c r="U20" s="52">
        <v>1062013.6593027804</v>
      </c>
      <c r="V20" s="52">
        <v>101850.23</v>
      </c>
      <c r="W20" s="63"/>
      <c r="X20" s="60">
        <v>101850.23</v>
      </c>
      <c r="Y20" s="35"/>
      <c r="Z20" s="36">
        <f t="shared" si="0"/>
        <v>0</v>
      </c>
      <c r="AA20" s="38"/>
      <c r="AB20" s="38">
        <f t="shared" si="1"/>
        <v>960163.42930278042</v>
      </c>
    </row>
    <row r="21" spans="1:29" ht="30.75">
      <c r="A21" s="1">
        <v>19</v>
      </c>
      <c r="B21" s="68">
        <v>17</v>
      </c>
      <c r="C21" s="127" t="s">
        <v>20</v>
      </c>
      <c r="D21" s="127"/>
      <c r="E21" s="127"/>
      <c r="F21" s="54">
        <v>311339</v>
      </c>
      <c r="G21" s="93" t="str">
        <f>"cap $311,339 + DSH Add-on $0"</f>
        <v>cap $311,339 + DSH Add-on $0</v>
      </c>
      <c r="H21" s="27" t="s">
        <v>49</v>
      </c>
      <c r="I21" s="27" t="s">
        <v>49</v>
      </c>
      <c r="J21" s="28" t="s">
        <v>25</v>
      </c>
      <c r="K21" s="53">
        <v>130469.53</v>
      </c>
      <c r="L21" s="53">
        <v>0</v>
      </c>
      <c r="M21" s="53">
        <v>0</v>
      </c>
      <c r="N21" s="53">
        <v>0</v>
      </c>
      <c r="O21" s="53">
        <v>130469.53</v>
      </c>
      <c r="P21" s="53">
        <v>285593.68620972976</v>
      </c>
      <c r="Q21" s="53">
        <v>155124.15620972976</v>
      </c>
      <c r="R21" s="53">
        <v>0</v>
      </c>
      <c r="S21" s="53">
        <v>56123.524528183509</v>
      </c>
      <c r="T21" s="53">
        <v>56123.524528183509</v>
      </c>
      <c r="U21" s="53">
        <v>211247.68073791327</v>
      </c>
      <c r="V21" s="53">
        <v>348986</v>
      </c>
      <c r="W21" s="63"/>
      <c r="X21" s="59">
        <v>348986</v>
      </c>
      <c r="Y21" s="7"/>
      <c r="Z21" s="8">
        <f t="shared" si="0"/>
        <v>1</v>
      </c>
      <c r="AA21" s="38">
        <f t="shared" si="3"/>
        <v>137738.31926208673</v>
      </c>
      <c r="AB21" s="38">
        <f t="shared" si="1"/>
        <v>0</v>
      </c>
      <c r="AC21" s="1" t="s">
        <v>36</v>
      </c>
    </row>
    <row r="22" spans="1:29" ht="30.75">
      <c r="A22" s="1">
        <v>20</v>
      </c>
      <c r="C22" s="120" t="s">
        <v>21</v>
      </c>
      <c r="D22" s="120"/>
      <c r="E22" s="120"/>
      <c r="F22" s="52">
        <v>53529.581176470601</v>
      </c>
      <c r="G22" s="94" t="str">
        <f t="shared" si="2"/>
        <v>amt paid 53529.58</v>
      </c>
      <c r="H22" s="32" t="s">
        <v>49</v>
      </c>
      <c r="I22" s="32" t="s">
        <v>49</v>
      </c>
      <c r="J22" s="44" t="s">
        <v>25</v>
      </c>
      <c r="K22" s="52">
        <v>6231033.8300000001</v>
      </c>
      <c r="L22" s="52">
        <v>0</v>
      </c>
      <c r="M22" s="52">
        <v>0</v>
      </c>
      <c r="N22" s="52">
        <v>3336.7186789969769</v>
      </c>
      <c r="O22" s="52">
        <v>6234370.548678997</v>
      </c>
      <c r="P22" s="52">
        <v>3088721.1160000046</v>
      </c>
      <c r="Q22" s="52">
        <v>-3145649.4326789924</v>
      </c>
      <c r="R22" s="52">
        <v>238818.52</v>
      </c>
      <c r="S22" s="52">
        <v>1164310.5071506372</v>
      </c>
      <c r="T22" s="52">
        <v>925491.9871506372</v>
      </c>
      <c r="U22" s="52">
        <v>-2220157.4455283554</v>
      </c>
      <c r="V22" s="52">
        <v>53529.579999999994</v>
      </c>
      <c r="W22" s="63"/>
      <c r="X22" s="60">
        <v>53529.579999999994</v>
      </c>
      <c r="Y22" s="35"/>
      <c r="Z22" s="36">
        <f t="shared" si="0"/>
        <v>1</v>
      </c>
      <c r="AA22" s="38">
        <f t="shared" si="3"/>
        <v>53529.579999999994</v>
      </c>
      <c r="AB22" s="38">
        <f t="shared" si="1"/>
        <v>0</v>
      </c>
    </row>
    <row r="23" spans="1:29" ht="30.75">
      <c r="A23" s="1">
        <v>21</v>
      </c>
      <c r="C23" s="121" t="s">
        <v>22</v>
      </c>
      <c r="D23" s="121"/>
      <c r="E23" s="121"/>
      <c r="F23" s="56">
        <v>9237.6085654679118</v>
      </c>
      <c r="G23" s="97" t="str">
        <f t="shared" si="2"/>
        <v>amt paid 9237.62</v>
      </c>
      <c r="H23" s="12">
        <v>0.31040331699962309</v>
      </c>
      <c r="I23" s="12">
        <v>0.17133330587544973</v>
      </c>
      <c r="J23" s="29" t="s">
        <v>27</v>
      </c>
      <c r="K23" s="56">
        <v>2978219.33</v>
      </c>
      <c r="L23" s="56">
        <v>73113.97</v>
      </c>
      <c r="M23" s="56">
        <v>0</v>
      </c>
      <c r="N23" s="56">
        <v>1304.8630602737626</v>
      </c>
      <c r="O23" s="56">
        <v>3052638.163060274</v>
      </c>
      <c r="P23" s="56">
        <v>2992214.481644257</v>
      </c>
      <c r="Q23" s="56">
        <v>-60423.681416017003</v>
      </c>
      <c r="R23" s="56">
        <v>187766.34</v>
      </c>
      <c r="S23" s="56">
        <v>652354.57017065282</v>
      </c>
      <c r="T23" s="56">
        <v>464588.23017065285</v>
      </c>
      <c r="U23" s="56">
        <v>404164.54875463585</v>
      </c>
      <c r="V23" s="56">
        <v>9237.619999999999</v>
      </c>
      <c r="W23" s="63"/>
      <c r="X23" s="62">
        <v>9237.619999999999</v>
      </c>
      <c r="Y23" s="11"/>
      <c r="Z23" s="8">
        <f t="shared" si="0"/>
        <v>0</v>
      </c>
      <c r="AA23" s="38"/>
      <c r="AB23" s="38">
        <f t="shared" si="1"/>
        <v>394926.92875463585</v>
      </c>
    </row>
    <row r="24" spans="1:29" ht="30.75">
      <c r="A24" s="1">
        <v>22</v>
      </c>
      <c r="C24" s="120" t="s">
        <v>41</v>
      </c>
      <c r="D24" s="120"/>
      <c r="E24" s="120"/>
      <c r="F24" s="52">
        <v>591547.61882812495</v>
      </c>
      <c r="G24" s="98" t="s">
        <v>71</v>
      </c>
      <c r="H24" s="34">
        <v>0.38844325856749773</v>
      </c>
      <c r="I24" s="34">
        <v>0.28440676639085283</v>
      </c>
      <c r="J24" s="44" t="s">
        <v>27</v>
      </c>
      <c r="K24" s="52">
        <v>45950329.920000002</v>
      </c>
      <c r="L24" s="52">
        <v>19461932.91</v>
      </c>
      <c r="M24" s="52">
        <v>2268834</v>
      </c>
      <c r="N24" s="52">
        <v>0</v>
      </c>
      <c r="O24" s="52">
        <v>67681096.830000013</v>
      </c>
      <c r="P24" s="52">
        <v>68707634.413617581</v>
      </c>
      <c r="Q24" s="52">
        <v>1026537.5836175736</v>
      </c>
      <c r="R24" s="52">
        <v>800080.07</v>
      </c>
      <c r="S24" s="52">
        <v>4816683.1398547422</v>
      </c>
      <c r="T24" s="52">
        <v>4016603.0698547424</v>
      </c>
      <c r="U24" s="52">
        <v>5043140.6534723155</v>
      </c>
      <c r="V24" s="52">
        <v>679391.58</v>
      </c>
      <c r="W24" s="63"/>
      <c r="X24" s="60">
        <v>591547.61882812495</v>
      </c>
      <c r="Y24" s="35">
        <v>87843.961171875009</v>
      </c>
      <c r="Z24" s="36">
        <f t="shared" si="0"/>
        <v>0</v>
      </c>
      <c r="AA24" s="38"/>
      <c r="AB24" s="38">
        <f t="shared" si="1"/>
        <v>4363749.0734723154</v>
      </c>
    </row>
    <row r="25" spans="1:29" ht="30.75">
      <c r="A25" s="1">
        <v>23</v>
      </c>
      <c r="C25" s="121" t="s">
        <v>23</v>
      </c>
      <c r="D25" s="121"/>
      <c r="E25" s="121"/>
      <c r="F25" s="56">
        <v>20456.648070733158</v>
      </c>
      <c r="G25" s="97" t="str">
        <f t="shared" si="2"/>
        <v>amt paid 20456.65</v>
      </c>
      <c r="H25" s="12">
        <v>0.27673393644166089</v>
      </c>
      <c r="I25" s="12">
        <v>0</v>
      </c>
      <c r="J25" s="29" t="s">
        <v>27</v>
      </c>
      <c r="K25" s="56">
        <v>10075698.98</v>
      </c>
      <c r="L25" s="56">
        <v>0</v>
      </c>
      <c r="M25" s="56">
        <v>0</v>
      </c>
      <c r="N25" s="56">
        <v>7588.2825496130881</v>
      </c>
      <c r="O25" s="56">
        <v>10083287.262549613</v>
      </c>
      <c r="P25" s="56">
        <v>9137208.8128529992</v>
      </c>
      <c r="Q25" s="56">
        <v>-946078.44969661348</v>
      </c>
      <c r="R25" s="56">
        <v>0</v>
      </c>
      <c r="S25" s="56">
        <v>1660528.7733177899</v>
      </c>
      <c r="T25" s="56">
        <v>1660528.7733177899</v>
      </c>
      <c r="U25" s="56">
        <v>714450.32362117642</v>
      </c>
      <c r="V25" s="56">
        <v>20456.650000000001</v>
      </c>
      <c r="W25" s="63"/>
      <c r="X25" s="62">
        <v>20456.650000000001</v>
      </c>
      <c r="Y25" s="11"/>
      <c r="Z25" s="8">
        <f t="shared" si="0"/>
        <v>0</v>
      </c>
      <c r="AA25" s="38"/>
      <c r="AB25" s="38">
        <f t="shared" si="1"/>
        <v>693993.67362117639</v>
      </c>
    </row>
    <row r="26" spans="1:29" ht="32.25">
      <c r="A26" s="1">
        <v>24</v>
      </c>
      <c r="C26" s="120" t="s">
        <v>24</v>
      </c>
      <c r="D26" s="120"/>
      <c r="E26" s="120"/>
      <c r="F26" s="52">
        <f>1000000+33883.09</f>
        <v>1033883.09</v>
      </c>
      <c r="G26" s="93" t="str">
        <f>"cap $1M + DSH Add-on $33,883.09"</f>
        <v>cap $1M + DSH Add-on $33,883.09</v>
      </c>
      <c r="H26" s="32" t="s">
        <v>49</v>
      </c>
      <c r="I26" s="32" t="s">
        <v>49</v>
      </c>
      <c r="J26" s="44" t="s">
        <v>25</v>
      </c>
      <c r="K26" s="52">
        <v>1567153.51</v>
      </c>
      <c r="L26" s="52">
        <v>0</v>
      </c>
      <c r="M26" s="52">
        <v>0</v>
      </c>
      <c r="N26" s="52">
        <v>-2078.3068391582879</v>
      </c>
      <c r="O26" s="52">
        <v>1565075.2031608417</v>
      </c>
      <c r="P26" s="52">
        <v>1525951.151585767</v>
      </c>
      <c r="Q26" s="52">
        <v>-39124.051575074671</v>
      </c>
      <c r="R26" s="107" t="s">
        <v>74</v>
      </c>
      <c r="S26" s="107" t="s">
        <v>74</v>
      </c>
      <c r="T26" s="107" t="s">
        <v>74</v>
      </c>
      <c r="U26" s="52">
        <v>-39124.051575074671</v>
      </c>
      <c r="V26" s="52">
        <v>1033883.09</v>
      </c>
      <c r="W26" s="63"/>
      <c r="X26" s="60">
        <v>1033883.09</v>
      </c>
      <c r="Y26" s="35"/>
      <c r="Z26" s="36">
        <f t="shared" si="0"/>
        <v>1</v>
      </c>
      <c r="AA26" s="38">
        <f t="shared" si="3"/>
        <v>1033883.09</v>
      </c>
      <c r="AB26" s="38">
        <f t="shared" si="1"/>
        <v>0</v>
      </c>
    </row>
    <row r="27" spans="1:29" ht="30.75">
      <c r="A27" s="1">
        <v>25</v>
      </c>
      <c r="C27" s="121" t="s">
        <v>29</v>
      </c>
      <c r="D27" s="121"/>
      <c r="E27" s="121"/>
      <c r="F27" s="56">
        <v>31823.96</v>
      </c>
      <c r="G27" s="97" t="str">
        <f t="shared" si="2"/>
        <v>amt paid 31823.96</v>
      </c>
      <c r="H27" s="27" t="s">
        <v>49</v>
      </c>
      <c r="I27" s="27" t="s">
        <v>49</v>
      </c>
      <c r="J27" s="29" t="s">
        <v>25</v>
      </c>
      <c r="K27" s="56">
        <v>1859270.3800000001</v>
      </c>
      <c r="L27" s="56">
        <v>0</v>
      </c>
      <c r="M27" s="56">
        <v>0</v>
      </c>
      <c r="N27" s="56">
        <v>0</v>
      </c>
      <c r="O27" s="56">
        <v>1859270.3800000001</v>
      </c>
      <c r="P27" s="56">
        <v>1316076.4793110259</v>
      </c>
      <c r="Q27" s="56">
        <v>-543193.90068897419</v>
      </c>
      <c r="R27" s="56">
        <v>99886.37</v>
      </c>
      <c r="S27" s="56">
        <v>407022.46878403041</v>
      </c>
      <c r="T27" s="56">
        <v>307136.09878403042</v>
      </c>
      <c r="U27" s="56">
        <v>-236057.80190494377</v>
      </c>
      <c r="V27" s="56">
        <v>31823.96</v>
      </c>
      <c r="W27" s="63"/>
      <c r="X27" s="62">
        <v>31823.96</v>
      </c>
      <c r="Y27" s="11"/>
      <c r="Z27" s="8">
        <f t="shared" si="0"/>
        <v>1</v>
      </c>
      <c r="AA27" s="38">
        <f t="shared" si="3"/>
        <v>31823.96</v>
      </c>
      <c r="AB27" s="38">
        <f t="shared" si="1"/>
        <v>0</v>
      </c>
    </row>
    <row r="28" spans="1:29" ht="30.75">
      <c r="A28" s="1">
        <v>26</v>
      </c>
      <c r="C28" s="120" t="s">
        <v>48</v>
      </c>
      <c r="D28" s="120"/>
      <c r="E28" s="120"/>
      <c r="F28" s="52">
        <v>30029.770252334594</v>
      </c>
      <c r="G28" s="94" t="str">
        <f t="shared" si="2"/>
        <v>amt paid 30029.77</v>
      </c>
      <c r="H28" s="34">
        <v>0.17448951434878587</v>
      </c>
      <c r="I28" s="34">
        <v>8.4839420041781646E-2</v>
      </c>
      <c r="J28" s="44" t="s">
        <v>27</v>
      </c>
      <c r="K28" s="52">
        <v>12186010.23</v>
      </c>
      <c r="L28" s="52">
        <v>12033539</v>
      </c>
      <c r="M28" s="52">
        <v>261518.49</v>
      </c>
      <c r="N28" s="52">
        <v>76358.359237133816</v>
      </c>
      <c r="O28" s="52">
        <v>24557426.079237133</v>
      </c>
      <c r="P28" s="52">
        <v>18872434.448569544</v>
      </c>
      <c r="Q28" s="52">
        <v>-5684991.6306675905</v>
      </c>
      <c r="R28" s="52">
        <v>2339818</v>
      </c>
      <c r="S28" s="52">
        <v>6521171.0078460863</v>
      </c>
      <c r="T28" s="52">
        <v>4181353.0078460863</v>
      </c>
      <c r="U28" s="52">
        <v>-1503638.6228215043</v>
      </c>
      <c r="V28" s="52">
        <v>30029.77</v>
      </c>
      <c r="W28" s="63"/>
      <c r="X28" s="60">
        <v>30029.77</v>
      </c>
      <c r="Y28" s="35"/>
      <c r="Z28" s="36">
        <f t="shared" si="0"/>
        <v>1</v>
      </c>
      <c r="AA28" s="38">
        <f t="shared" si="3"/>
        <v>30029.77</v>
      </c>
      <c r="AB28" s="38">
        <f t="shared" si="1"/>
        <v>0</v>
      </c>
    </row>
    <row r="29" spans="1:29" ht="32.25">
      <c r="A29" s="1">
        <v>27</v>
      </c>
      <c r="C29" s="121" t="s">
        <v>44</v>
      </c>
      <c r="D29" s="121"/>
      <c r="E29" s="121"/>
      <c r="F29" s="56">
        <v>86174.303461538453</v>
      </c>
      <c r="G29" s="97" t="str">
        <f t="shared" si="2"/>
        <v>amt paid 86174.3</v>
      </c>
      <c r="H29" s="27" t="s">
        <v>49</v>
      </c>
      <c r="I29" s="27" t="s">
        <v>49</v>
      </c>
      <c r="J29" s="29" t="s">
        <v>25</v>
      </c>
      <c r="K29" s="56">
        <v>4761227.7</v>
      </c>
      <c r="L29" s="56">
        <v>0</v>
      </c>
      <c r="M29" s="56">
        <v>0</v>
      </c>
      <c r="N29" s="56">
        <v>20555.386327794036</v>
      </c>
      <c r="O29" s="56">
        <v>4781783.086327794</v>
      </c>
      <c r="P29" s="56">
        <v>3922014.3107499313</v>
      </c>
      <c r="Q29" s="56">
        <v>-859768.77557786275</v>
      </c>
      <c r="R29" s="107" t="s">
        <v>74</v>
      </c>
      <c r="S29" s="107" t="s">
        <v>74</v>
      </c>
      <c r="T29" s="107" t="s">
        <v>74</v>
      </c>
      <c r="U29" s="56">
        <v>-859768.77557786275</v>
      </c>
      <c r="V29" s="56">
        <v>86174.3</v>
      </c>
      <c r="W29" s="63"/>
      <c r="X29" s="62">
        <v>86174.3</v>
      </c>
      <c r="Y29" s="11"/>
      <c r="Z29" s="8">
        <f t="shared" si="0"/>
        <v>1</v>
      </c>
      <c r="AA29" s="38">
        <f t="shared" si="3"/>
        <v>86174.3</v>
      </c>
      <c r="AB29" s="38">
        <f t="shared" si="1"/>
        <v>0</v>
      </c>
    </row>
    <row r="30" spans="1:29" ht="30.75">
      <c r="A30" s="1">
        <v>28</v>
      </c>
      <c r="C30" s="120" t="s">
        <v>45</v>
      </c>
      <c r="D30" s="120"/>
      <c r="E30" s="120"/>
      <c r="F30" s="52">
        <v>10886625.2798049</v>
      </c>
      <c r="G30" s="98" t="s">
        <v>70</v>
      </c>
      <c r="H30" s="34">
        <v>0.31466981210995665</v>
      </c>
      <c r="I30" s="34">
        <v>0.19862321126595001</v>
      </c>
      <c r="J30" s="44" t="s">
        <v>27</v>
      </c>
      <c r="K30" s="52">
        <v>84388228</v>
      </c>
      <c r="L30" s="52">
        <v>0</v>
      </c>
      <c r="M30" s="52">
        <v>64602140</v>
      </c>
      <c r="N30" s="52">
        <v>1876273.8458462649</v>
      </c>
      <c r="O30" s="52">
        <v>150866641.84584627</v>
      </c>
      <c r="P30" s="52">
        <v>106184828.42459221</v>
      </c>
      <c r="Q30" s="52">
        <v>-44681813.421254054</v>
      </c>
      <c r="R30" s="52">
        <v>15218519</v>
      </c>
      <c r="S30" s="52">
        <v>39773886.434109814</v>
      </c>
      <c r="T30" s="52">
        <v>24555367.434109814</v>
      </c>
      <c r="U30" s="52">
        <v>-20126445.987144239</v>
      </c>
      <c r="V30" s="52">
        <v>10936245</v>
      </c>
      <c r="W30" s="63"/>
      <c r="X30" s="60">
        <v>10886625.2798049</v>
      </c>
      <c r="Y30" s="35">
        <v>49619.72019511275</v>
      </c>
      <c r="Z30" s="36">
        <f t="shared" si="0"/>
        <v>1</v>
      </c>
      <c r="AA30" s="38">
        <f t="shared" si="3"/>
        <v>10936245</v>
      </c>
      <c r="AB30" s="38">
        <f t="shared" si="1"/>
        <v>0</v>
      </c>
    </row>
    <row r="31" spans="1:29" ht="30.75">
      <c r="A31" s="1">
        <v>29</v>
      </c>
      <c r="C31" s="121" t="s">
        <v>63</v>
      </c>
      <c r="D31" s="121"/>
      <c r="E31" s="121"/>
      <c r="F31" s="56">
        <v>163385.14103318102</v>
      </c>
      <c r="G31" s="97" t="str">
        <f t="shared" si="2"/>
        <v>amt paid 163385.14</v>
      </c>
      <c r="H31" s="12">
        <v>0.24992706093383615</v>
      </c>
      <c r="I31" s="12">
        <v>0.20560928001056533</v>
      </c>
      <c r="J31" s="29" t="s">
        <v>27</v>
      </c>
      <c r="K31" s="56">
        <v>37516609.609999999</v>
      </c>
      <c r="L31" s="56">
        <v>3876877.53</v>
      </c>
      <c r="M31" s="56">
        <v>753244</v>
      </c>
      <c r="N31" s="56">
        <v>121848.85251297835</v>
      </c>
      <c r="O31" s="56">
        <v>42268579.992512979</v>
      </c>
      <c r="P31" s="56">
        <v>36321912.892188773</v>
      </c>
      <c r="Q31" s="56">
        <v>-5946667.1003242033</v>
      </c>
      <c r="R31" s="56">
        <v>1739735.35</v>
      </c>
      <c r="S31" s="56">
        <v>8046571.2847470697</v>
      </c>
      <c r="T31" s="56">
        <v>6306835.9347470701</v>
      </c>
      <c r="U31" s="56">
        <v>360168.83442286681</v>
      </c>
      <c r="V31" s="56">
        <v>163385.14000000001</v>
      </c>
      <c r="W31" s="63"/>
      <c r="X31" s="60">
        <v>163385.14000000001</v>
      </c>
      <c r="Y31" s="35"/>
      <c r="Z31" s="36">
        <f>IF(U31-V31&gt;0,,1)</f>
        <v>0</v>
      </c>
      <c r="AA31" s="38"/>
      <c r="AB31" s="38">
        <f>IF(AA31=0,U31-V31,0)</f>
        <v>196783.6944228668</v>
      </c>
    </row>
    <row r="32" spans="1:29" ht="31.5" thickBot="1">
      <c r="A32" s="1">
        <v>30</v>
      </c>
      <c r="C32" s="122" t="s">
        <v>46</v>
      </c>
      <c r="D32" s="122"/>
      <c r="E32" s="122"/>
      <c r="F32" s="71">
        <v>81010.611553398063</v>
      </c>
      <c r="G32" s="99" t="str">
        <f t="shared" si="2"/>
        <v>amt paid 81010.6</v>
      </c>
      <c r="H32" s="72" t="s">
        <v>49</v>
      </c>
      <c r="I32" s="72" t="s">
        <v>49</v>
      </c>
      <c r="J32" s="73" t="s">
        <v>25</v>
      </c>
      <c r="K32" s="71">
        <v>6148402.6100000003</v>
      </c>
      <c r="L32" s="71">
        <v>943183.66</v>
      </c>
      <c r="M32" s="71">
        <v>0</v>
      </c>
      <c r="N32" s="71">
        <v>4422.7589577823874</v>
      </c>
      <c r="O32" s="71">
        <v>7096009.0289577832</v>
      </c>
      <c r="P32" s="71">
        <v>5560795.2767923763</v>
      </c>
      <c r="Q32" s="71">
        <v>-1535213.7521654072</v>
      </c>
      <c r="R32" s="71">
        <v>423741.85</v>
      </c>
      <c r="S32" s="71">
        <v>1436189.1067136524</v>
      </c>
      <c r="T32" s="71">
        <v>1012447.2567136524</v>
      </c>
      <c r="U32" s="71">
        <v>-522766.49545175477</v>
      </c>
      <c r="V32" s="71">
        <v>81010.600000000006</v>
      </c>
      <c r="W32" s="63"/>
      <c r="X32" s="62">
        <v>81010.600000000006</v>
      </c>
      <c r="Y32" s="11"/>
      <c r="Z32" s="8">
        <f>IF(U32-V32&gt;0,,1)</f>
        <v>1</v>
      </c>
      <c r="AA32" s="38">
        <f>IF(Z32=1,(IF(U32&lt;0,V32,V32-U32)),0)</f>
        <v>81010.600000000006</v>
      </c>
      <c r="AB32" s="38">
        <f>IF(AA32=0,U32-V32,0)</f>
        <v>0</v>
      </c>
    </row>
    <row r="33" spans="1:28" ht="32.25">
      <c r="A33" s="1">
        <v>31</v>
      </c>
      <c r="C33" s="123" t="s">
        <v>68</v>
      </c>
      <c r="D33" s="123"/>
      <c r="E33" s="123"/>
      <c r="F33" s="70">
        <v>934586</v>
      </c>
      <c r="G33" s="93" t="str">
        <f>"IMD limit $934,586"</f>
        <v>IMD limit $934,586</v>
      </c>
      <c r="H33" s="88">
        <v>0.19427314431826728</v>
      </c>
      <c r="I33" s="88">
        <v>1.0579786659735615</v>
      </c>
      <c r="J33" s="89" t="s">
        <v>27</v>
      </c>
      <c r="K33" s="70"/>
      <c r="L33" s="70"/>
      <c r="M33" s="70"/>
      <c r="N33" s="70"/>
      <c r="O33" s="70"/>
      <c r="P33" s="70"/>
      <c r="Q33" s="70"/>
      <c r="R33" s="70">
        <v>612808.45531506848</v>
      </c>
      <c r="S33" s="70">
        <v>15416923.743319143</v>
      </c>
      <c r="T33" s="70">
        <v>14804115.288004074</v>
      </c>
      <c r="U33" s="70">
        <v>14804115.288004074</v>
      </c>
      <c r="V33" s="70">
        <v>716278</v>
      </c>
      <c r="W33" s="41"/>
      <c r="X33" s="62">
        <v>716278</v>
      </c>
      <c r="Y33" s="11"/>
      <c r="Z33" s="43">
        <f t="shared" si="0"/>
        <v>0</v>
      </c>
      <c r="AA33" s="38"/>
      <c r="AB33" s="38">
        <f t="shared" si="1"/>
        <v>14087837.288004074</v>
      </c>
    </row>
    <row r="34" spans="1:28" ht="8.25" customHeight="1">
      <c r="C34" s="45"/>
      <c r="D34" s="45"/>
      <c r="E34" s="45"/>
      <c r="F34" s="41"/>
      <c r="G34" s="100"/>
      <c r="H34" s="42"/>
      <c r="I34" s="42"/>
      <c r="J34" s="40"/>
      <c r="K34" s="41"/>
      <c r="L34" s="41"/>
      <c r="M34" s="41"/>
      <c r="N34" s="41"/>
      <c r="O34" s="41"/>
      <c r="P34" s="41"/>
      <c r="Q34" s="41"/>
      <c r="R34" s="41"/>
      <c r="S34" s="41"/>
      <c r="T34" s="41"/>
      <c r="U34" s="41"/>
      <c r="V34" s="41"/>
      <c r="W34" s="41"/>
    </row>
    <row r="35" spans="1:28" ht="21.75" customHeight="1">
      <c r="B35" s="74"/>
      <c r="C35" s="75" t="s">
        <v>26</v>
      </c>
      <c r="D35" s="74"/>
      <c r="E35" s="76"/>
      <c r="F35" s="77"/>
      <c r="G35" s="101"/>
      <c r="H35" s="78"/>
      <c r="I35" s="78"/>
      <c r="J35" s="79"/>
      <c r="K35" s="80"/>
      <c r="L35" s="81"/>
      <c r="M35" s="81"/>
      <c r="N35" s="81"/>
      <c r="O35" s="80"/>
      <c r="P35" s="80"/>
      <c r="Q35" s="80"/>
      <c r="R35" s="80"/>
      <c r="S35" s="80"/>
      <c r="T35" s="80"/>
      <c r="U35" s="80"/>
      <c r="V35" s="80"/>
      <c r="W35" s="25"/>
      <c r="AA35" s="39">
        <f>SUM($AA$3:$AA$33)</f>
        <v>12874533.929262087</v>
      </c>
      <c r="AB35" s="39">
        <f>SUM(AB3:AB33)</f>
        <v>33690459.502093054</v>
      </c>
    </row>
    <row r="36" spans="1:28" s="3" customFormat="1" ht="44.25" customHeight="1">
      <c r="B36" s="108"/>
      <c r="C36" s="109" t="s">
        <v>57</v>
      </c>
      <c r="D36" s="124" t="s">
        <v>72</v>
      </c>
      <c r="E36" s="124"/>
      <c r="F36" s="124"/>
      <c r="G36" s="124"/>
      <c r="H36" s="124"/>
      <c r="I36" s="124"/>
      <c r="J36" s="124"/>
      <c r="K36" s="124"/>
      <c r="L36" s="124"/>
      <c r="M36" s="124"/>
      <c r="N36" s="124"/>
      <c r="O36" s="124"/>
      <c r="P36" s="124"/>
      <c r="Q36" s="124"/>
      <c r="R36" s="124"/>
      <c r="S36" s="124"/>
      <c r="T36" s="124"/>
      <c r="U36" s="124"/>
      <c r="V36" s="124"/>
      <c r="W36" s="110"/>
      <c r="X36" s="18">
        <f>SUM(X3:X33)</f>
        <v>16186034.158633025</v>
      </c>
      <c r="Y36" s="18">
        <f>SUM(Y3:Y33)</f>
        <v>137463.68136698776</v>
      </c>
      <c r="Z36" s="17">
        <f>SUM(Z3:Z33)</f>
        <v>15</v>
      </c>
      <c r="AA36" s="3" t="s">
        <v>37</v>
      </c>
    </row>
    <row r="37" spans="1:28" s="3" customFormat="1" ht="6" customHeight="1">
      <c r="B37" s="108"/>
      <c r="C37" s="108"/>
      <c r="D37" s="108"/>
      <c r="E37" s="111"/>
      <c r="F37" s="108"/>
      <c r="G37" s="112"/>
      <c r="H37" s="113"/>
      <c r="I37" s="113"/>
      <c r="J37" s="114"/>
      <c r="K37" s="115"/>
      <c r="L37" s="115"/>
      <c r="M37" s="115"/>
      <c r="N37" s="115"/>
      <c r="O37" s="115"/>
      <c r="P37" s="115"/>
      <c r="Q37" s="115"/>
      <c r="R37" s="115"/>
      <c r="S37" s="115"/>
      <c r="T37" s="115"/>
      <c r="U37" s="115"/>
      <c r="V37" s="115"/>
      <c r="X37" s="18"/>
      <c r="Y37" s="18"/>
    </row>
    <row r="38" spans="1:28" s="3" customFormat="1" ht="44.25" customHeight="1">
      <c r="B38" s="108"/>
      <c r="C38" s="109" t="s">
        <v>58</v>
      </c>
      <c r="D38" s="124" t="s">
        <v>73</v>
      </c>
      <c r="E38" s="124"/>
      <c r="F38" s="124"/>
      <c r="G38" s="124"/>
      <c r="H38" s="124"/>
      <c r="I38" s="124"/>
      <c r="J38" s="124"/>
      <c r="K38" s="124"/>
      <c r="L38" s="124"/>
      <c r="M38" s="124"/>
      <c r="N38" s="124"/>
      <c r="O38" s="124"/>
      <c r="P38" s="124"/>
      <c r="Q38" s="124"/>
      <c r="R38" s="124"/>
      <c r="S38" s="124"/>
      <c r="T38" s="124"/>
      <c r="U38" s="124"/>
      <c r="V38" s="124"/>
      <c r="W38" s="116"/>
      <c r="X38" s="117">
        <f>X37-X36</f>
        <v>-16186034.158633025</v>
      </c>
      <c r="Y38" s="118"/>
      <c r="Z38" s="18"/>
    </row>
    <row r="39" spans="1:28" ht="6" customHeight="1">
      <c r="B39" s="74"/>
      <c r="C39" s="74"/>
      <c r="D39" s="74"/>
      <c r="E39" s="76"/>
      <c r="F39" s="74"/>
      <c r="G39" s="102"/>
      <c r="H39" s="78"/>
      <c r="I39" s="78"/>
      <c r="J39" s="79"/>
      <c r="K39" s="80"/>
      <c r="L39" s="80"/>
      <c r="M39" s="80"/>
      <c r="N39" s="80"/>
      <c r="O39" s="80"/>
      <c r="P39" s="80"/>
      <c r="Q39" s="80"/>
      <c r="R39" s="80"/>
      <c r="S39" s="80"/>
      <c r="T39" s="80"/>
      <c r="U39" s="80"/>
      <c r="V39" s="80"/>
      <c r="W39" s="14"/>
    </row>
    <row r="40" spans="1:28" ht="21" customHeight="1">
      <c r="B40" s="74"/>
      <c r="C40" s="82" t="s">
        <v>59</v>
      </c>
      <c r="D40" s="125" t="s">
        <v>56</v>
      </c>
      <c r="E40" s="125"/>
      <c r="F40" s="125"/>
      <c r="G40" s="125"/>
      <c r="H40" s="125"/>
      <c r="I40" s="125"/>
      <c r="J40" s="125"/>
      <c r="K40" s="125"/>
      <c r="L40" s="125"/>
      <c r="M40" s="125"/>
      <c r="N40" s="125"/>
      <c r="O40" s="125"/>
      <c r="P40" s="125"/>
      <c r="Q40" s="125"/>
      <c r="R40" s="125"/>
      <c r="S40" s="125"/>
      <c r="T40" s="125"/>
      <c r="U40" s="125"/>
      <c r="V40" s="125"/>
      <c r="X40" s="25"/>
      <c r="Y40" s="16"/>
      <c r="Z40" s="18"/>
      <c r="AA40" s="39">
        <f>MIN($AA$3:$AA$33)</f>
        <v>8924.119999999999</v>
      </c>
      <c r="AB40" s="1" t="s">
        <v>51</v>
      </c>
    </row>
    <row r="41" spans="1:28" ht="6" customHeight="1">
      <c r="B41" s="74"/>
      <c r="C41" s="74"/>
      <c r="D41" s="74"/>
      <c r="E41" s="76"/>
      <c r="F41" s="74"/>
      <c r="G41" s="102"/>
      <c r="H41" s="78"/>
      <c r="I41" s="78"/>
      <c r="J41" s="79"/>
      <c r="K41" s="80"/>
      <c r="L41" s="80"/>
      <c r="M41" s="80"/>
      <c r="N41" s="80"/>
      <c r="O41" s="80"/>
      <c r="P41" s="80"/>
      <c r="Q41" s="80"/>
      <c r="R41" s="80"/>
      <c r="S41" s="80"/>
      <c r="T41" s="80"/>
      <c r="U41" s="80"/>
      <c r="V41" s="80"/>
      <c r="W41" s="69"/>
    </row>
    <row r="42" spans="1:28" ht="97.5" customHeight="1">
      <c r="B42" s="74"/>
      <c r="C42" s="82" t="s">
        <v>60</v>
      </c>
      <c r="D42" s="129" t="s">
        <v>64</v>
      </c>
      <c r="E42" s="129"/>
      <c r="F42" s="129"/>
      <c r="G42" s="129"/>
      <c r="H42" s="129"/>
      <c r="I42" s="129"/>
      <c r="J42" s="129"/>
      <c r="K42" s="129"/>
      <c r="L42" s="129"/>
      <c r="M42" s="129"/>
      <c r="N42" s="129"/>
      <c r="O42" s="129"/>
      <c r="P42" s="129"/>
      <c r="Q42" s="129"/>
      <c r="R42" s="129"/>
      <c r="S42" s="129"/>
      <c r="T42" s="129"/>
      <c r="U42" s="129"/>
      <c r="V42" s="129"/>
      <c r="W42" s="119" t="s">
        <v>62</v>
      </c>
      <c r="X42" s="25"/>
      <c r="Y42" s="16"/>
      <c r="Z42" s="18"/>
      <c r="AA42" s="90">
        <f>MAX($AA$3:$AA$33)</f>
        <v>10936245</v>
      </c>
      <c r="AB42" s="26" t="s">
        <v>50</v>
      </c>
    </row>
    <row r="43" spans="1:28" ht="6" customHeight="1">
      <c r="B43" s="74"/>
      <c r="C43" s="83"/>
      <c r="D43" s="83"/>
      <c r="E43" s="84"/>
      <c r="F43" s="83"/>
      <c r="G43" s="103"/>
      <c r="H43" s="85"/>
      <c r="I43" s="85"/>
      <c r="J43" s="86"/>
      <c r="K43" s="87"/>
      <c r="L43" s="87"/>
      <c r="M43" s="87"/>
      <c r="N43" s="87"/>
      <c r="O43" s="87"/>
      <c r="P43" s="87"/>
      <c r="Q43" s="87"/>
      <c r="R43" s="87"/>
      <c r="S43" s="87"/>
      <c r="T43" s="87"/>
      <c r="U43" s="87"/>
      <c r="V43" s="87"/>
      <c r="W43" s="119"/>
      <c r="X43" s="25"/>
      <c r="Y43" s="16"/>
      <c r="Z43" s="18"/>
      <c r="AA43" s="39"/>
      <c r="AB43" s="1"/>
    </row>
    <row r="44" spans="1:28" ht="21.75" customHeight="1">
      <c r="B44" s="74"/>
      <c r="C44" s="82" t="s">
        <v>67</v>
      </c>
      <c r="D44" s="125" t="s">
        <v>61</v>
      </c>
      <c r="E44" s="125"/>
      <c r="F44" s="125"/>
      <c r="G44" s="125"/>
      <c r="H44" s="125"/>
      <c r="I44" s="125"/>
      <c r="J44" s="125"/>
      <c r="K44" s="125"/>
      <c r="L44" s="125"/>
      <c r="M44" s="125"/>
      <c r="N44" s="125"/>
      <c r="O44" s="125"/>
      <c r="P44" s="125"/>
      <c r="Q44" s="125"/>
      <c r="R44" s="125"/>
      <c r="S44" s="125"/>
      <c r="T44" s="125"/>
      <c r="U44" s="125"/>
      <c r="V44" s="125"/>
      <c r="W44" s="119"/>
      <c r="X44" s="25"/>
      <c r="Y44" s="16"/>
      <c r="Z44" s="18"/>
      <c r="AA44" s="39">
        <f>SUM($AB$3:$AB$33)</f>
        <v>33690459.502093054</v>
      </c>
      <c r="AB44" s="1" t="s">
        <v>52</v>
      </c>
    </row>
    <row r="45" spans="1:28" ht="6" customHeight="1">
      <c r="C45" s="14"/>
      <c r="D45" s="14"/>
      <c r="E45" s="13"/>
      <c r="F45" s="14"/>
      <c r="G45" s="102"/>
      <c r="H45" s="20"/>
      <c r="I45" s="20"/>
      <c r="J45" s="30"/>
      <c r="K45" s="15"/>
      <c r="L45" s="15"/>
      <c r="M45" s="15"/>
      <c r="N45" s="15"/>
      <c r="O45" s="15"/>
      <c r="P45" s="15"/>
      <c r="Q45" s="15"/>
      <c r="R45" s="15"/>
      <c r="S45" s="15"/>
      <c r="T45" s="15"/>
      <c r="U45" s="15"/>
      <c r="V45" s="15"/>
      <c r="W45" s="119"/>
    </row>
    <row r="46" spans="1:28" s="3" customFormat="1" ht="18.75">
      <c r="C46" s="109" t="s">
        <v>69</v>
      </c>
      <c r="D46" s="126" t="s">
        <v>76</v>
      </c>
      <c r="E46" s="126"/>
      <c r="F46" s="126"/>
      <c r="G46" s="126"/>
      <c r="H46" s="126"/>
      <c r="I46" s="126"/>
      <c r="J46" s="126"/>
      <c r="K46" s="126"/>
      <c r="L46" s="126"/>
      <c r="M46" s="126"/>
      <c r="N46" s="126"/>
      <c r="O46" s="126"/>
      <c r="P46" s="126"/>
      <c r="Q46" s="126"/>
      <c r="R46" s="126"/>
      <c r="S46" s="126"/>
      <c r="T46" s="126"/>
      <c r="U46" s="126"/>
      <c r="V46" s="126"/>
      <c r="W46" s="119"/>
      <c r="X46" s="18"/>
      <c r="Y46" s="18"/>
      <c r="AA46" s="18">
        <f>AA44-AB33</f>
        <v>19602622.21408898</v>
      </c>
      <c r="AB46" s="3" t="s">
        <v>53</v>
      </c>
    </row>
    <row r="47" spans="1:28" ht="9.75" customHeight="1">
      <c r="C47" s="14"/>
      <c r="D47" s="14"/>
      <c r="E47" s="13"/>
      <c r="F47" s="14"/>
      <c r="G47" s="102"/>
      <c r="H47" s="20"/>
      <c r="I47" s="20"/>
      <c r="J47" s="30"/>
      <c r="K47" s="15"/>
      <c r="L47" s="15"/>
      <c r="M47" s="15"/>
      <c r="N47" s="15"/>
      <c r="O47" s="15"/>
      <c r="P47" s="15"/>
      <c r="Q47" s="15"/>
      <c r="R47" s="15"/>
      <c r="S47" s="15"/>
      <c r="T47" s="15"/>
      <c r="U47" s="15"/>
      <c r="V47" s="15"/>
      <c r="W47" s="25"/>
    </row>
    <row r="48" spans="1:28">
      <c r="AA48" s="46">
        <f>AB3+AB7+AB14+AB15+AB18+AB21+AB30</f>
        <v>715174.77204846463</v>
      </c>
      <c r="AB48" s="26" t="s">
        <v>54</v>
      </c>
    </row>
    <row r="49" spans="3:28" ht="39" customHeight="1">
      <c r="C49" s="14"/>
      <c r="D49" s="14"/>
      <c r="E49" s="13"/>
      <c r="F49" s="14"/>
      <c r="G49" s="102"/>
      <c r="H49" s="20"/>
      <c r="I49" s="20"/>
      <c r="J49" s="30"/>
      <c r="K49" s="15"/>
      <c r="L49" s="15"/>
      <c r="M49" s="15"/>
      <c r="N49" s="15"/>
      <c r="O49" s="15"/>
      <c r="P49" s="15"/>
      <c r="Q49" s="15"/>
      <c r="R49" s="15"/>
      <c r="S49" s="15"/>
      <c r="T49" s="15"/>
      <c r="U49" s="15"/>
      <c r="V49" s="67"/>
      <c r="AA49" s="1"/>
      <c r="AB49" s="1"/>
    </row>
    <row r="50" spans="3:28">
      <c r="AA50" s="1"/>
      <c r="AB50" s="1"/>
    </row>
  </sheetData>
  <sortState ref="A3:X33">
    <sortCondition ref="A3:A33"/>
  </sortState>
  <mergeCells count="41">
    <mergeCell ref="X1:Y1"/>
    <mergeCell ref="D42:V42"/>
    <mergeCell ref="C1:E1"/>
    <mergeCell ref="C2:E2"/>
    <mergeCell ref="C3:E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W42:W46"/>
    <mergeCell ref="C30:E30"/>
    <mergeCell ref="C31:E31"/>
    <mergeCell ref="C32:E32"/>
    <mergeCell ref="C33:E33"/>
    <mergeCell ref="D36:V36"/>
    <mergeCell ref="D40:V40"/>
    <mergeCell ref="D44:V44"/>
    <mergeCell ref="D46:V46"/>
    <mergeCell ref="D38:V38"/>
  </mergeCells>
  <printOptions horizontalCentered="1" verticalCentered="1"/>
  <pageMargins left="0.24" right="0.34" top="0.75" bottom="0.17" header="0.5" footer="0.18"/>
  <pageSetup scale="39" orientation="landscape" r:id="rId1"/>
  <headerFooter>
    <oddHeader>&amp;C&amp;"Calibri,Bold"&amp;24UTAH DEPARTMENT OF HEALTH
HOSPITAL DATA SUMMARY SCHEDULE
FOR MEDICAID STATE PLAN RATE YEAR ENDED SEPTEMBER 30,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2005</vt:lpstr>
      <vt:lpstr>'2005'!Print_Area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Kerby</dc:creator>
  <cp:lastModifiedBy>Brent</cp:lastModifiedBy>
  <cp:lastPrinted>2010-12-22T00:05:57Z</cp:lastPrinted>
  <dcterms:created xsi:type="dcterms:W3CDTF">2010-06-07T15:32:21Z</dcterms:created>
  <dcterms:modified xsi:type="dcterms:W3CDTF">2010-12-22T00:07:34Z</dcterms:modified>
</cp:coreProperties>
</file>